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8920" yWindow="-120" windowWidth="29040" windowHeight="15840" activeTab="1"/>
  </bookViews>
  <sheets>
    <sheet name="Infographic" sheetId="6" r:id="rId1"/>
    <sheet name="OverDrive Statistics" sheetId="1" r:id="rId2"/>
    <sheet name="Simultaneous Use Circ" sheetId="4" r:id="rId3"/>
    <sheet name="BiblioBoard Statistics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" i="6" l="1"/>
  <c r="I23" i="6"/>
  <c r="E23" i="6"/>
  <c r="B23" i="6"/>
  <c r="I13" i="6"/>
  <c r="I12" i="6"/>
  <c r="B13" i="6"/>
  <c r="B12" i="6"/>
  <c r="B57" i="1"/>
  <c r="M33" i="1"/>
  <c r="M29" i="1"/>
  <c r="M32" i="1"/>
  <c r="L33" i="1"/>
  <c r="M28" i="1"/>
  <c r="L5" i="5" l="1"/>
  <c r="B56" i="1"/>
  <c r="L29" i="1"/>
  <c r="L32" i="1"/>
  <c r="L28" i="1"/>
  <c r="K5" i="5" l="1"/>
  <c r="J5" i="5"/>
  <c r="I5" i="5"/>
  <c r="H5" i="5"/>
  <c r="B55" i="1"/>
  <c r="K33" i="1"/>
  <c r="K29" i="1"/>
  <c r="K32" i="1"/>
  <c r="K28" i="1"/>
  <c r="B54" i="1" l="1"/>
  <c r="B53" i="1"/>
  <c r="B52" i="1"/>
  <c r="B51" i="1" l="1"/>
  <c r="B49" i="1"/>
  <c r="B50" i="1"/>
  <c r="F3" i="1"/>
  <c r="B48" i="1" l="1"/>
  <c r="I42" i="6"/>
  <c r="B42" i="6"/>
  <c r="I21" i="6"/>
  <c r="N19" i="1"/>
  <c r="N18" i="1"/>
  <c r="N17" i="1"/>
  <c r="N16" i="1"/>
  <c r="N15" i="1"/>
  <c r="N14" i="1"/>
  <c r="N13" i="1"/>
  <c r="N12" i="1"/>
  <c r="N11" i="1"/>
  <c r="N9" i="1"/>
  <c r="B47" i="1"/>
  <c r="C35" i="1"/>
  <c r="B35" i="1"/>
  <c r="C32" i="1"/>
  <c r="C28" i="1"/>
  <c r="C33" i="1"/>
  <c r="C31" i="1" s="1"/>
  <c r="C29" i="1"/>
  <c r="B22" i="6"/>
  <c r="C6" i="1"/>
  <c r="C21" i="1" s="1"/>
  <c r="B6" i="1"/>
  <c r="D6" i="1"/>
  <c r="E6" i="1"/>
  <c r="F6" i="1"/>
  <c r="G6" i="1"/>
  <c r="H6" i="1"/>
  <c r="I6" i="1"/>
  <c r="J6" i="1"/>
  <c r="K6" i="1"/>
  <c r="L6" i="1"/>
  <c r="M6" i="1"/>
  <c r="B46" i="1"/>
  <c r="B33" i="1"/>
  <c r="B29" i="1"/>
  <c r="B28" i="1"/>
  <c r="B32" i="1"/>
  <c r="N5" i="5"/>
  <c r="N7" i="5"/>
  <c r="N4" i="5"/>
  <c r="N6" i="5"/>
  <c r="N3" i="5"/>
  <c r="E35" i="1"/>
  <c r="F35" i="1"/>
  <c r="G35" i="1"/>
  <c r="H35" i="1"/>
  <c r="I35" i="1"/>
  <c r="J35" i="1"/>
  <c r="K35" i="1"/>
  <c r="L35" i="1"/>
  <c r="M35" i="1"/>
  <c r="D35" i="1"/>
  <c r="D31" i="1"/>
  <c r="E31" i="1"/>
  <c r="F31" i="1"/>
  <c r="G31" i="1"/>
  <c r="H31" i="1"/>
  <c r="I31" i="1"/>
  <c r="J31" i="1"/>
  <c r="K31" i="1"/>
  <c r="L31" i="1"/>
  <c r="B31" i="1"/>
  <c r="C27" i="1"/>
  <c r="D27" i="1"/>
  <c r="E27" i="1"/>
  <c r="F27" i="1"/>
  <c r="G27" i="1"/>
  <c r="H27" i="1"/>
  <c r="I27" i="1"/>
  <c r="J27" i="1"/>
  <c r="K27" i="1"/>
  <c r="L27" i="1"/>
  <c r="B27" i="1"/>
  <c r="M31" i="1"/>
  <c r="M27" i="1"/>
  <c r="N4" i="1"/>
  <c r="N8" i="1"/>
  <c r="N5" i="1"/>
  <c r="C10" i="1"/>
  <c r="D10" i="1"/>
  <c r="E10" i="1"/>
  <c r="F10" i="1"/>
  <c r="F21" i="1" s="1"/>
  <c r="G10" i="1"/>
  <c r="H10" i="1"/>
  <c r="I10" i="1"/>
  <c r="J10" i="1"/>
  <c r="K10" i="1"/>
  <c r="L10" i="1"/>
  <c r="M10" i="1"/>
  <c r="B10" i="1"/>
  <c r="C3" i="1"/>
  <c r="D3" i="1"/>
  <c r="E3" i="1"/>
  <c r="G3" i="1"/>
  <c r="H3" i="1"/>
  <c r="I3" i="1"/>
  <c r="J3" i="1"/>
  <c r="K3" i="1"/>
  <c r="L3" i="1"/>
  <c r="M3" i="1"/>
  <c r="M21" i="1"/>
  <c r="B3" i="1"/>
  <c r="B21" i="1"/>
  <c r="N7" i="1"/>
  <c r="D21" i="1"/>
  <c r="L21" i="1" l="1"/>
  <c r="K21" i="1"/>
  <c r="J21" i="1"/>
  <c r="I21" i="1"/>
  <c r="H21" i="1"/>
  <c r="G21" i="1"/>
  <c r="E21" i="1"/>
  <c r="N6" i="1"/>
  <c r="N3" i="1"/>
  <c r="N10" i="1"/>
  <c r="I22" i="6"/>
  <c r="B21" i="6"/>
  <c r="N21" i="1" l="1"/>
  <c r="B8" i="6" s="1"/>
</calcChain>
</file>

<file path=xl/sharedStrings.xml><?xml version="1.0" encoding="utf-8"?>
<sst xmlns="http://schemas.openxmlformats.org/spreadsheetml/2006/main" count="160" uniqueCount="97">
  <si>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</si>
  <si>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</si>
  <si>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</si>
  <si>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</si>
  <si>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</si>
  <si>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</si>
  <si>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</si>
  <si>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</si>
  <si>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</si>
  <si>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</si>
  <si>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</si>
  <si>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</si>
  <si>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AudioBooks</t>
  </si>
  <si>
    <t>MP3 Audiobook</t>
  </si>
  <si>
    <t>Total eBooks</t>
  </si>
  <si>
    <t>Adobe PDF</t>
  </si>
  <si>
    <t>Adobe EPUB</t>
  </si>
  <si>
    <t>Open PDF</t>
  </si>
  <si>
    <t>Open EPUB</t>
  </si>
  <si>
    <t>Kindle Book</t>
  </si>
  <si>
    <t>Checkouts Grand Total</t>
  </si>
  <si>
    <t>Audiobook</t>
  </si>
  <si>
    <t>eBook</t>
  </si>
  <si>
    <t>Video</t>
  </si>
  <si>
    <t>Video Checked Out but Never Downloaded</t>
  </si>
  <si>
    <t>Total Video</t>
  </si>
  <si>
    <t>Streaming Video</t>
  </si>
  <si>
    <t>OverDrive Read</t>
  </si>
  <si>
    <t>OverDrive Listen</t>
  </si>
  <si>
    <t>MediaDo Reader</t>
  </si>
  <si>
    <t>Average Waiting Period (as of…)</t>
  </si>
  <si>
    <t>Holds by Format (as of…)</t>
  </si>
  <si>
    <t>Kobo eBook</t>
  </si>
  <si>
    <t>All Holds Since Purchase (as of…)</t>
  </si>
  <si>
    <t>WISCONSIN'S DIGITAL LIBRARY</t>
  </si>
  <si>
    <t>Audiobooks</t>
  </si>
  <si>
    <t>TOTAL TITLES</t>
  </si>
  <si>
    <t>TOTAL COPIES</t>
  </si>
  <si>
    <t>eBooks</t>
  </si>
  <si>
    <t>Circ through 2016</t>
  </si>
  <si>
    <t>eBooks Checked Out but Never Downloaded*</t>
  </si>
  <si>
    <t>Audiobooks Checked Out but Never Downloaded*</t>
  </si>
  <si>
    <t>counting each format of a title only once - exclude weeded titles, include preorders</t>
  </si>
  <si>
    <t>ADVANTAGE PLUS SHARED (copies)</t>
  </si>
  <si>
    <t>Collection</t>
  </si>
  <si>
    <t>Purchased</t>
  </si>
  <si>
    <t>Expires</t>
  </si>
  <si>
    <t>Order ID</t>
  </si>
  <si>
    <t>Users (Avg/Day)</t>
  </si>
  <si>
    <t>New Users</t>
  </si>
  <si>
    <t>Total Opens</t>
  </si>
  <si>
    <t>SELF-e Submissions</t>
  </si>
  <si>
    <t>SELF-e Select Circulation*</t>
  </si>
  <si>
    <t>(avg/day)</t>
  </si>
  <si>
    <t>December (prelim)</t>
  </si>
  <si>
    <t>25 Tantor Media Titles</t>
  </si>
  <si>
    <t>25 Blackstone Titles</t>
  </si>
  <si>
    <t>50 Tantor Media Titles</t>
  </si>
  <si>
    <t>wils-MAX-20181114-132323-1279</t>
  </si>
  <si>
    <t>wils-MAX-20181207-090409-1279</t>
  </si>
  <si>
    <t>wils-MAX-20181207-084635-1279</t>
  </si>
  <si>
    <t>wils-MAX-20181227-160606-1279</t>
  </si>
  <si>
    <t>Circulation Activity by Format by Month 2019 (includes circulation of titles and copies purchased outside of the Consortium by individual libraries and systems)</t>
  </si>
  <si>
    <t>2019 Total</t>
  </si>
  <si>
    <t>Inception through January 31, 2019</t>
  </si>
  <si>
    <t>Inception through February 28, 2019</t>
  </si>
  <si>
    <t>Inception through March 31, 2019</t>
  </si>
  <si>
    <t>Inception through April 30, 2019</t>
  </si>
  <si>
    <t>Inception through May 31, 2019</t>
  </si>
  <si>
    <t>Inception through June 30, 2019</t>
  </si>
  <si>
    <t>Inception through July 31, 2019</t>
  </si>
  <si>
    <t>Inception through August 31, 2019</t>
  </si>
  <si>
    <t>Inception through September 30, 2019</t>
  </si>
  <si>
    <t>Inception through October 31, 2019</t>
  </si>
  <si>
    <t>Inception through November 30, 2019</t>
  </si>
  <si>
    <t>Inception through December 31, 2019</t>
  </si>
  <si>
    <t>Patrons with Checkouts 2019 (avg/day)</t>
  </si>
  <si>
    <t>Current</t>
  </si>
  <si>
    <t>Historical</t>
  </si>
  <si>
    <t>2019 Simultaneous Use Circulation</t>
  </si>
  <si>
    <t>OverDrive</t>
  </si>
  <si>
    <t>YTD Checkouts</t>
  </si>
  <si>
    <t>Active Holds</t>
  </si>
  <si>
    <t>ebooks</t>
  </si>
  <si>
    <t>non-circulated</t>
  </si>
  <si>
    <t>not circulated</t>
  </si>
  <si>
    <t>circulated</t>
  </si>
  <si>
    <t>owned</t>
  </si>
  <si>
    <t>BiblioBoard</t>
  </si>
  <si>
    <t>Opens YTD</t>
  </si>
  <si>
    <t>New Users YTD</t>
  </si>
  <si>
    <t>Titles Circulated by Month</t>
  </si>
  <si>
    <t xml:space="preserve">May </t>
  </si>
  <si>
    <t>Purchased Titles and Copies through 2019 (includes Consortium titles and copies only)</t>
  </si>
  <si>
    <t>BiblioBoard Usage 2019</t>
  </si>
  <si>
    <t>*circulation of BiblioBoard titles in overdrive</t>
  </si>
  <si>
    <t>December 2019 Year to Date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</si>
</sst>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sz val="26"/>
      <color theme="1"/>
      <name val="Georgia"/>
      <family val="1"/>
    </font>
    <font>
      <sz val="36"/>
      <color theme="1"/>
      <name val="Georgia"/>
      <family val="1"/>
    </font>
    <font>
      <b/>
      <sz val="3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"/>
      <name val="Georgia"/>
      <family val="1"/>
    </font>
    <font>
      <u/>
      <sz val="18"/>
      <color theme="1"/>
      <name val="Archer Light"/>
      <family val="3"/>
    </font>
    <font>
      <sz val="16"/>
      <color theme="1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6">
    <xf numFmtId="0" fontId="0" fillId="0" borderId="0" xfId="0"/>
    <xf numFmtId="0" fontId="1" fillId="0" borderId="4" xfId="0" applyFont="1" applyBorder="1"/>
    <xf numFmtId="0" fontId="1" fillId="0" borderId="0" xfId="0" applyFont="1"/>
    <xf numFmtId="3" fontId="1" fillId="0" borderId="0" xfId="0" applyNumberFormat="1" applyFont="1"/>
    <xf numFmtId="3" fontId="1" fillId="0" borderId="5" xfId="0" applyNumberFormat="1" applyFont="1" applyBorder="1"/>
    <xf numFmtId="0" fontId="0" fillId="2" borderId="4" xfId="0" applyFill="1" applyBorder="1" applyAlignment="1">
      <alignment horizontal="right"/>
    </xf>
    <xf numFmtId="3" fontId="0" fillId="2" borderId="0" xfId="0" applyNumberFormat="1" applyFill="1"/>
    <xf numFmtId="0" fontId="1" fillId="0" borderId="6" xfId="0" applyFont="1" applyBorder="1"/>
    <xf numFmtId="3" fontId="1" fillId="0" borderId="7" xfId="0" applyNumberFormat="1" applyFont="1" applyBorder="1"/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 applyAlignment="1">
      <alignment horizontal="center"/>
    </xf>
    <xf numFmtId="3" fontId="0" fillId="2" borderId="5" xfId="0" applyNumberFormat="1" applyFill="1" applyBorder="1"/>
    <xf numFmtId="0" fontId="0" fillId="0" borderId="3" xfId="0" applyBorder="1"/>
    <xf numFmtId="3" fontId="0" fillId="0" borderId="0" xfId="0" applyNumberFormat="1"/>
    <xf numFmtId="0" fontId="1" fillId="0" borderId="4" xfId="0" applyFont="1" applyBorder="1" applyAlignment="1">
      <alignment horizontal="left"/>
    </xf>
    <xf numFmtId="0" fontId="0" fillId="2" borderId="0" xfId="0" applyFill="1"/>
    <xf numFmtId="3" fontId="0" fillId="0" borderId="5" xfId="0" applyNumberFormat="1" applyBorder="1"/>
    <xf numFmtId="3" fontId="1" fillId="0" borderId="8" xfId="0" applyNumberFormat="1" applyFont="1" applyBorder="1"/>
    <xf numFmtId="14" fontId="0" fillId="0" borderId="4" xfId="0" applyNumberFormat="1" applyBorder="1"/>
    <xf numFmtId="14" fontId="0" fillId="0" borderId="6" xfId="0" applyNumberFormat="1" applyBorder="1"/>
    <xf numFmtId="0" fontId="2" fillId="0" borderId="1" xfId="0" applyFont="1" applyBorder="1"/>
    <xf numFmtId="14" fontId="1" fillId="0" borderId="2" xfId="0" applyNumberFormat="1" applyFont="1" applyBorder="1"/>
    <xf numFmtId="14" fontId="1" fillId="0" borderId="3" xfId="0" applyNumberFormat="1" applyFont="1" applyBorder="1"/>
    <xf numFmtId="1" fontId="0" fillId="0" borderId="5" xfId="0" applyNumberFormat="1" applyBorder="1"/>
    <xf numFmtId="0" fontId="1" fillId="0" borderId="2" xfId="0" applyFont="1" applyBorder="1"/>
    <xf numFmtId="14" fontId="0" fillId="0" borderId="0" xfId="0" applyNumberFormat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0" xfId="1" applyNumberFormat="1" applyFont="1"/>
    <xf numFmtId="164" fontId="0" fillId="0" borderId="0" xfId="0" applyNumberFormat="1"/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vertical="center"/>
    </xf>
    <xf numFmtId="0" fontId="9" fillId="3" borderId="0" xfId="0" applyFont="1" applyFill="1"/>
    <xf numFmtId="164" fontId="7" fillId="3" borderId="0" xfId="1" applyNumberFormat="1" applyFont="1" applyFill="1" applyAlignment="1">
      <alignment vertical="top"/>
    </xf>
    <xf numFmtId="14" fontId="1" fillId="0" borderId="4" xfId="0" applyNumberFormat="1" applyFont="1" applyBorder="1"/>
    <xf numFmtId="164" fontId="0" fillId="0" borderId="4" xfId="1" applyNumberFormat="1" applyFont="1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1" fillId="2" borderId="0" xfId="0" applyFont="1" applyFill="1"/>
    <xf numFmtId="0" fontId="1" fillId="2" borderId="7" xfId="0" applyFon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0" xfId="0" applyFill="1"/>
    <xf numFmtId="0" fontId="1" fillId="0" borderId="0" xfId="0" applyFont="1" applyAlignment="1">
      <alignment horizontal="right"/>
    </xf>
    <xf numFmtId="0" fontId="2" fillId="0" borderId="2" xfId="0" applyFont="1" applyBorder="1"/>
    <xf numFmtId="0" fontId="1" fillId="5" borderId="0" xfId="0" applyFont="1" applyFill="1"/>
    <xf numFmtId="0" fontId="12" fillId="0" borderId="0" xfId="0" applyFont="1"/>
    <xf numFmtId="0" fontId="0" fillId="0" borderId="12" xfId="0" applyBorder="1"/>
    <xf numFmtId="0" fontId="0" fillId="0" borderId="13" xfId="0" applyBorder="1"/>
    <xf numFmtId="0" fontId="13" fillId="0" borderId="3" xfId="0" applyFont="1" applyBorder="1"/>
    <xf numFmtId="0" fontId="13" fillId="0" borderId="2" xfId="0" applyFon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0" xfId="0" applyNumberFormat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4" borderId="4" xfId="0" applyFill="1" applyBorder="1"/>
    <xf numFmtId="3" fontId="5" fillId="4" borderId="0" xfId="0" applyNumberFormat="1" applyFont="1" applyFill="1" applyAlignment="1">
      <alignment vertical="center"/>
    </xf>
    <xf numFmtId="3" fontId="5" fillId="4" borderId="5" xfId="0" applyNumberFormat="1" applyFont="1" applyFill="1" applyBorder="1" applyAlignment="1">
      <alignment vertical="center"/>
    </xf>
    <xf numFmtId="0" fontId="0" fillId="4" borderId="5" xfId="0" applyFill="1" applyBorder="1"/>
    <xf numFmtId="0" fontId="14" fillId="4" borderId="4" xfId="0" applyFont="1" applyFill="1" applyBorder="1"/>
    <xf numFmtId="0" fontId="14" fillId="4" borderId="0" xfId="0" applyFont="1" applyFill="1"/>
    <xf numFmtId="0" fontId="6" fillId="3" borderId="0" xfId="0" applyFont="1" applyFill="1"/>
    <xf numFmtId="3" fontId="6" fillId="4" borderId="4" xfId="0" applyNumberFormat="1" applyFont="1" applyFill="1" applyBorder="1"/>
    <xf numFmtId="3" fontId="6" fillId="4" borderId="0" xfId="0" applyNumberFormat="1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6" fillId="4" borderId="5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vertical="center"/>
    </xf>
    <xf numFmtId="0" fontId="19" fillId="6" borderId="0" xfId="0" applyFont="1" applyFill="1" applyAlignment="1">
      <alignment vertical="center"/>
    </xf>
    <xf numFmtId="0" fontId="0" fillId="6" borderId="4" xfId="0" applyFill="1" applyBorder="1"/>
    <xf numFmtId="0" fontId="0" fillId="6" borderId="0" xfId="0" applyFill="1"/>
    <xf numFmtId="164" fontId="7" fillId="6" borderId="0" xfId="1" applyNumberFormat="1" applyFont="1" applyFill="1" applyAlignment="1">
      <alignment vertical="top"/>
    </xf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164" fontId="7" fillId="6" borderId="7" xfId="1" applyNumberFormat="1" applyFont="1" applyFill="1" applyBorder="1" applyAlignment="1">
      <alignment vertical="top"/>
    </xf>
    <xf numFmtId="0" fontId="0" fillId="6" borderId="8" xfId="0" applyFill="1" applyBorder="1"/>
    <xf numFmtId="165" fontId="0" fillId="0" borderId="0" xfId="0" applyNumberFormat="1"/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6" fillId="4" borderId="0" xfId="0" applyFont="1" applyFill="1" applyAlignment="1">
      <alignment horizontal="left"/>
    </xf>
    <xf numFmtId="0" fontId="15" fillId="6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right" vertical="center"/>
    </xf>
    <xf numFmtId="0" fontId="6" fillId="6" borderId="0" xfId="0" applyFont="1" applyFill="1" applyAlignment="1">
      <alignment horizontal="right" vertical="center"/>
    </xf>
    <xf numFmtId="0" fontId="6" fillId="6" borderId="0" xfId="0" applyFont="1" applyFill="1" applyAlignment="1">
      <alignment horizontal="left" vertical="center"/>
    </xf>
    <xf numFmtId="164" fontId="6" fillId="6" borderId="0" xfId="1" applyNumberFormat="1" applyFont="1" applyFill="1" applyAlignment="1">
      <alignment horizontal="right" vertical="center"/>
    </xf>
    <xf numFmtId="0" fontId="6" fillId="6" borderId="5" xfId="0" applyFont="1" applyFill="1" applyBorder="1" applyAlignment="1">
      <alignment horizontal="left" vertical="center"/>
    </xf>
    <xf numFmtId="3" fontId="6" fillId="4" borderId="4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3" fontId="6" fillId="4" borderId="0" xfId="0" applyNumberFormat="1" applyFont="1" applyFill="1" applyAlignment="1">
      <alignment horizontal="right"/>
    </xf>
    <xf numFmtId="0" fontId="6" fillId="4" borderId="5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" fontId="1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3B393"/>
      <color rgb="FF6C7755"/>
      <color rgb="FFFFF8E5"/>
      <color rgb="FFEBB99D"/>
      <color rgb="FF9DA78A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Infographic!$B$20</c:f>
              <c:strCache>
                <c:ptCount val="1"/>
                <c:pt idx="0">
                  <c:v>ebooks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AD-456A-9C70-DE7959DAF40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AD-456A-9C70-DE7959DAF40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AD-456A-9C70-DE7959DAF40D}"/>
              </c:ext>
            </c:extLst>
          </c:dPt>
          <c:cat>
            <c:strRef>
              <c:f>Infographic!$C$21:$C$23</c:f>
              <c:strCache>
                <c:ptCount val="3"/>
                <c:pt idx="0">
                  <c:v>non-circulated</c:v>
                </c:pt>
                <c:pt idx="2">
                  <c:v>circulated</c:v>
                </c:pt>
              </c:strCache>
            </c:strRef>
          </c:cat>
          <c:val>
            <c:numRef>
              <c:f>Infographic!$B$21:$B$23</c:f>
              <c:numCache>
                <c:formatCode>General</c:formatCode>
                <c:ptCount val="3"/>
                <c:pt idx="0">
                  <c:v>-200148</c:v>
                </c:pt>
                <c:pt idx="1">
                  <c:v>0</c:v>
                </c:pt>
                <c:pt idx="2" formatCode="#,##0">
                  <c:v>261735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D-456A-9C70-DE7959DAF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Infographic!$I$20</c:f>
              <c:strCache>
                <c:ptCount val="1"/>
                <c:pt idx="0">
                  <c:v>Audiobooks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88-4C40-AE93-166C17B9FA6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88-4C40-AE93-166C17B9FA6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88-4C40-AE93-166C17B9FA65}"/>
              </c:ext>
            </c:extLst>
          </c:dPt>
          <c:cat>
            <c:strRef>
              <c:f>Infographic!$J$21:$K$23</c:f>
              <c:strCache>
                <c:ptCount val="3"/>
                <c:pt idx="0">
                  <c:v>not circulated</c:v>
                </c:pt>
                <c:pt idx="2">
                  <c:v>circulated</c:v>
                </c:pt>
              </c:strCache>
            </c:strRef>
          </c:cat>
          <c:val>
            <c:numRef>
              <c:f>Infographic!$I$21:$I$23</c:f>
              <c:numCache>
                <c:formatCode>General</c:formatCode>
                <c:ptCount val="3"/>
                <c:pt idx="0">
                  <c:v>-196877</c:v>
                </c:pt>
                <c:pt idx="1">
                  <c:v>0</c:v>
                </c:pt>
                <c:pt idx="2" formatCode="#,##0">
                  <c:v>220918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88-4C40-AE93-166C17B9F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>
                <a:solidFill>
                  <a:sysClr val="windowText" lastClr="000000"/>
                </a:solidFill>
                <a:latin typeface="Georgia" panose="02040502050405020303" pitchFamily="18" charset="0"/>
              </a:rPr>
              <a:t>Average Waiting Period (as of…)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'OverDrive Statistics'!$A$68:$A$79</c:f>
              <c:numCache>
                <c:formatCode>m/d/yyyy</c:formatCode>
                <c:ptCount val="12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43803</c:v>
                </c:pt>
                <c:pt idx="11">
                  <c:v>43831</c:v>
                </c:pt>
              </c:numCache>
            </c:numRef>
          </c:cat>
          <c:val>
            <c:numRef>
              <c:f>'OverDrive Statistics'!$B$68:$B$79</c:f>
              <c:numCache>
                <c:formatCode>General</c:formatCode>
                <c:ptCount val="12"/>
                <c:pt idx="0">
                  <c:v>43.94</c:v>
                </c:pt>
                <c:pt idx="1">
                  <c:v>44.95</c:v>
                </c:pt>
                <c:pt idx="2">
                  <c:v>47.43</c:v>
                </c:pt>
                <c:pt idx="3">
                  <c:v>47.56</c:v>
                </c:pt>
                <c:pt idx="4">
                  <c:v>47.49</c:v>
                </c:pt>
                <c:pt idx="5">
                  <c:v>47.39</c:v>
                </c:pt>
                <c:pt idx="8">
                  <c:v>44.3</c:v>
                </c:pt>
                <c:pt idx="9">
                  <c:v>44.67</c:v>
                </c:pt>
                <c:pt idx="10">
                  <c:v>44.54</c:v>
                </c:pt>
                <c:pt idx="11">
                  <c:v>42.79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5-4247-9814-49EF49A6E5D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2765792"/>
        <c:axId val="402767360"/>
      </c:lineChart>
      <c:catAx>
        <c:axId val="40276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8E5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>
                <a:solidFill>
                  <a:sysClr val="windowText" lastClr="000000"/>
                </a:solidFill>
                <a:latin typeface="Georgia" panose="02040502050405020303" pitchFamily="18" charset="0"/>
              </a:rPr>
              <a:t>Patrons with Checkouts (per day)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977443654809965E-2"/>
          <c:y val="0.35156563243400796"/>
          <c:w val="0.91475418820907251"/>
          <c:h val="0.3563059963646092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'OverDrive Statistics'!$A$46:$A$57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'OverDrive Statistics'!$B$46:$B$57</c:f>
              <c:numCache>
                <c:formatCode>0</c:formatCode>
                <c:ptCount val="12"/>
                <c:pt idx="0">
                  <c:v>2816.3225806451615</c:v>
                </c:pt>
                <c:pt idx="1">
                  <c:v>3024.8571428571427</c:v>
                </c:pt>
                <c:pt idx="2">
                  <c:v>2846.1612903225805</c:v>
                </c:pt>
                <c:pt idx="3">
                  <c:v>2893.5</c:v>
                </c:pt>
                <c:pt idx="4">
                  <c:v>2835.9032258064517</c:v>
                </c:pt>
                <c:pt idx="5">
                  <c:v>2939.8</c:v>
                </c:pt>
                <c:pt idx="6">
                  <c:v>2917.5806451612902</c:v>
                </c:pt>
                <c:pt idx="7">
                  <c:v>2920.1612903225805</c:v>
                </c:pt>
                <c:pt idx="8">
                  <c:v>3003.7666666666669</c:v>
                </c:pt>
                <c:pt idx="9">
                  <c:v>2924.0322580645161</c:v>
                </c:pt>
                <c:pt idx="10">
                  <c:v>2963.3333333333335</c:v>
                </c:pt>
                <c:pt idx="11">
                  <c:v>2939.9354838709678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C0-4DA1-9A5C-259390801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65792"/>
        <c:axId val="402767360"/>
      </c:lineChart>
      <c:catAx>
        <c:axId val="4027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8E5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  <a:latin typeface="Georgia" panose="02040502050405020303" pitchFamily="18" charset="0"/>
              </a:rPr>
              <a:t>Total Opens by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'BiblioBoard Statistics'!$A$3</c:f>
              <c:strCache>
                <c:ptCount val="1"/>
                <c:pt idx="0">
                  <c:v>Total Opens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'BiblioBoard Statistics'!$B$2:$K$2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'BiblioBoard Statistics'!$B$3:$K$3</c:f>
              <c:numCache>
                <c:formatCode>General</c:formatCode>
                <c:ptCount val="10"/>
                <c:pt idx="0">
                  <c:v>173</c:v>
                </c:pt>
                <c:pt idx="1">
                  <c:v>195</c:v>
                </c:pt>
                <c:pt idx="2">
                  <c:v>192</c:v>
                </c:pt>
                <c:pt idx="3">
                  <c:v>97</c:v>
                </c:pt>
                <c:pt idx="4">
                  <c:v>101</c:v>
                </c:pt>
                <c:pt idx="5">
                  <c:v>74</c:v>
                </c:pt>
                <c:pt idx="6">
                  <c:v>94</c:v>
                </c:pt>
                <c:pt idx="7">
                  <c:v>125</c:v>
                </c:pt>
                <c:pt idx="8">
                  <c:v>50</c:v>
                </c:pt>
                <c:pt idx="9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5-41DD-94E9-28004B949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204728"/>
        <c:axId val="789212272"/>
      </c:lineChart>
      <c:catAx>
        <c:axId val="78920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212272"/>
        <c:crosses val="autoZero"/>
        <c:auto val="1"/>
        <c:lblAlgn val="ctr"/>
        <c:lblOffset val="100"/>
        <c:noMultiLvlLbl val="0"/>
      </c:catAx>
      <c:valAx>
        <c:axId val="78921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204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Patrons with Checkouts</a:t>
            </a:r>
            <a:r>
              <a:rPr lang="en-US" sz="1600" baseline="0"/>
              <a:t> by Month (avg/day)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'OverDrive Statistics'!$B$46:$B$57</c:f>
              <c:strCache>
                <c:ptCount val="12"/>
                <c:pt idx="0">
                  <c:v>2816</c:v>
                </c:pt>
                <c:pt idx="1">
                  <c:v>3025</c:v>
                </c:pt>
                <c:pt idx="2">
                  <c:v>2846</c:v>
                </c:pt>
                <c:pt idx="3">
                  <c:v>2894</c:v>
                </c:pt>
                <c:pt idx="4">
                  <c:v>2836</c:v>
                </c:pt>
                <c:pt idx="5">
                  <c:v>2940</c:v>
                </c:pt>
                <c:pt idx="6">
                  <c:v>2918</c:v>
                </c:pt>
                <c:pt idx="7">
                  <c:v>2920</c:v>
                </c:pt>
                <c:pt idx="8">
                  <c:v>3004</c:v>
                </c:pt>
                <c:pt idx="9">
                  <c:v>2924</c:v>
                </c:pt>
                <c:pt idx="10">
                  <c:v>2963</c:v>
                </c:pt>
                <c:pt idx="11">
                  <c:v>2940</c:v>
                </c:pt>
              </c:strCache>
            </c:strRef>
          </c:tx>
          <c:invertIfNegative val="0"/>
          <c:cat>
            <c:strRef>
              <c:f>'OverDrive Statistics'!$A$46:$A$57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'OverDrive Statistics'!$B$46:$B$57</c:f>
              <c:numCache>
                <c:formatCode>0</c:formatCode>
                <c:ptCount val="12"/>
                <c:pt idx="0">
                  <c:v>2816.3225806451615</c:v>
                </c:pt>
                <c:pt idx="1">
                  <c:v>3024.8571428571427</c:v>
                </c:pt>
                <c:pt idx="2">
                  <c:v>2846.1612903225805</c:v>
                </c:pt>
                <c:pt idx="3">
                  <c:v>2893.5</c:v>
                </c:pt>
                <c:pt idx="4">
                  <c:v>2835.9032258064517</c:v>
                </c:pt>
                <c:pt idx="5">
                  <c:v>2939.8</c:v>
                </c:pt>
                <c:pt idx="6">
                  <c:v>2917.5806451612902</c:v>
                </c:pt>
                <c:pt idx="7">
                  <c:v>2920.1612903225805</c:v>
                </c:pt>
                <c:pt idx="8">
                  <c:v>3003.7666666666669</c:v>
                </c:pt>
                <c:pt idx="9">
                  <c:v>2924.0322580645161</c:v>
                </c:pt>
                <c:pt idx="10">
                  <c:v>2963.3333333333335</c:v>
                </c:pt>
                <c:pt idx="11">
                  <c:v>2939.9354838709678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A-4065-A71A-877C094D7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70496"/>
        <c:axId val="402768144"/>
      </c:barChart>
      <c:catAx>
        <c:axId val="40277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2768144"/>
        <c:crosses val="autoZero"/>
        <c:auto val="1"/>
        <c:lblAlgn val="ctr"/>
        <c:lblOffset val="100"/>
        <c:noMultiLvlLbl val="0"/>
      </c:catAx>
      <c:valAx>
        <c:axId val="402768144"/>
        <c:scaling>
          <c:orientation val="minMax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40277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Average Waiting Period (as of…)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'OverDrive Statistics'!$B$67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'OverDrive Statistics'!$A$68:$A$79</c:f>
              <c:numCache>
                <c:formatCode>m/d/yyyy</c:formatCode>
                <c:ptCount val="12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43803</c:v>
                </c:pt>
                <c:pt idx="11">
                  <c:v>43831</c:v>
                </c:pt>
              </c:numCache>
            </c:numRef>
          </c:cat>
          <c:val>
            <c:numRef>
              <c:f>'OverDrive Statistics'!$B$68:$B$79</c:f>
              <c:numCache>
                <c:formatCode>General</c:formatCode>
                <c:ptCount val="12"/>
                <c:pt idx="0">
                  <c:v>43.94</c:v>
                </c:pt>
                <c:pt idx="1">
                  <c:v>44.95</c:v>
                </c:pt>
                <c:pt idx="2">
                  <c:v>47.43</c:v>
                </c:pt>
                <c:pt idx="3">
                  <c:v>47.56</c:v>
                </c:pt>
                <c:pt idx="4">
                  <c:v>47.49</c:v>
                </c:pt>
                <c:pt idx="5">
                  <c:v>47.39</c:v>
                </c:pt>
                <c:pt idx="8">
                  <c:v>44.3</c:v>
                </c:pt>
                <c:pt idx="9">
                  <c:v>44.67</c:v>
                </c:pt>
                <c:pt idx="10">
                  <c:v>44.54</c:v>
                </c:pt>
                <c:pt idx="11">
                  <c:v>42.79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B-4708-81CE-7B692AAB1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765792"/>
        <c:axId val="402767360"/>
      </c:barChart>
      <c:catAx>
        <c:axId val="40276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17781</xdr:colOff>
      <xdr:row>13</xdr:row>
      <xdr:rowOff>17780</xdr:rowOff>
    </xdr:from>
    <xdr:to>
      <xdr:col>6</xdr:col>
      <xdr:colOff>512194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D161C8-659E-4258-8C22-096627DB7C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7524</xdr:colOff>
      <xdr:row>13</xdr:row>
      <xdr:rowOff>12065</xdr:rowOff>
    </xdr:from>
    <xdr:to>
      <xdr:col>13</xdr:col>
      <xdr:colOff>521874</xdr:colOff>
      <xdr:row>20</xdr:row>
      <xdr:rowOff>168910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9E98A5-6418-4BB8-BBFC-C6301A42B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54610</xdr:colOff>
      <xdr:row>23</xdr:row>
      <xdr:rowOff>38101</xdr:rowOff>
    </xdr:from>
    <xdr:to>
      <xdr:col>13</xdr:col>
      <xdr:colOff>473710</xdr:colOff>
      <xdr:row>31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29A2D7-CFE1-4F81-A16E-0F39EF065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60960</xdr:colOff>
      <xdr:row>31</xdr:row>
      <xdr:rowOff>12700</xdr:rowOff>
    </xdr:from>
    <xdr:to>
      <xdr:col>13</xdr:col>
      <xdr:colOff>482600</xdr:colOff>
      <xdr:row>38</xdr:row>
      <xdr:rowOff>149859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0B0CBCB-6CAA-46A2-86B3-C19A4603F2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42</xdr:row>
      <xdr:rowOff>20320</xdr:rowOff>
    </xdr:from>
    <xdr:to>
      <xdr:col>13</xdr:col>
      <xdr:colOff>495300</xdr:colOff>
      <xdr:row>48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56DB4C1-F620-448F-8435-329A30DF9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43</xdr:row>
      <xdr:rowOff>33338</xdr:rowOff>
    </xdr:from>
    <xdr:to>
      <xdr:col>8</xdr:col>
      <xdr:colOff>212725</xdr:colOff>
      <xdr:row>59</xdr:row>
      <xdr:rowOff>7937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403868</xdr:colOff>
      <xdr:row>65</xdr:row>
      <xdr:rowOff>110807</xdr:rowOff>
    </xdr:from>
    <xdr:to>
      <xdr:col>8</xdr:col>
      <xdr:colOff>373388</xdr:colOff>
      <xdr:row>81</xdr:row>
      <xdr:rowOff>44132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="130" zoomScaleNormal="50" zoomScaleSheetLayoutView="130" workbookViewId="0">
      <selection activeCell="B6" sqref="B6:N7"/>
    </sheetView>
  </sheetViews>
  <sheetFormatPr defaultRowHeight="13.9" customHeight="1"/>
  <cols>
    <col min="1" max="1" width="1.7109375" style="57" customWidth="1"/>
    <col min="2" max="2" width="9" customWidth="1"/>
    <col min="3" max="7" width="7.7109375" customWidth="1"/>
    <col min="8" max="8" width="1.7109375" customWidth="1"/>
    <col min="9" max="9" width="8.5703125" customWidth="1"/>
    <col min="10" max="14" width="7.7109375" customWidth="1"/>
    <col min="15" max="15" width="1.7109375" style="57" customWidth="1"/>
  </cols>
  <sheetData>
    <row r="1" spans="1:15" ht="13.9" customHeight="1">
      <c r="B1" s="113" t="s">
        <v>34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64"/>
    </row>
    <row r="2" spans="1:15" ht="13.9" customHeight="1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64"/>
    </row>
    <row r="3" spans="1:15" ht="13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64"/>
    </row>
    <row r="4" spans="1:15" ht="13.9" customHeight="1">
      <c r="B4" s="119" t="s">
        <v>96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  <c r="O4" s="64"/>
    </row>
    <row r="5" spans="1:15" ht="13.9" customHeight="1"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64"/>
    </row>
    <row r="6" spans="1:15" ht="13.15" customHeight="1">
      <c r="A6" s="65"/>
      <c r="B6" s="125" t="s">
        <v>80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O6" s="64"/>
    </row>
    <row r="7" spans="1:15" ht="9" customHeight="1" thickBot="1">
      <c r="A7" s="65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0"/>
      <c r="O7" s="64"/>
    </row>
    <row r="8" spans="1:15" ht="10.5" customHeight="1">
      <c r="B8" s="131" t="str">
        <f>TEXT('OverDrive Statistics'!N21,"#,##0") &amp;" Checkouts this Year"</f>
        <v>5,860,128 Checkouts this Year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3"/>
      <c r="O8" s="64"/>
    </row>
    <row r="9" spans="1:15" ht="10.15" customHeight="1">
      <c r="B9" s="131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3"/>
      <c r="O9" s="64"/>
    </row>
    <row r="10" spans="1:15" ht="13.9" customHeight="1">
      <c r="A10" s="65"/>
      <c r="B10" s="134" t="s">
        <v>38</v>
      </c>
      <c r="C10" s="135"/>
      <c r="D10" s="135"/>
      <c r="E10" s="135"/>
      <c r="F10" s="135"/>
      <c r="G10" s="135"/>
      <c r="H10" s="36"/>
      <c r="I10" s="137" t="s">
        <v>35</v>
      </c>
      <c r="J10" s="135"/>
      <c r="K10" s="135"/>
      <c r="L10" s="135"/>
      <c r="M10" s="135"/>
      <c r="N10" s="138"/>
      <c r="O10" s="64"/>
    </row>
    <row r="11" spans="1:15" ht="13.9" customHeight="1">
      <c r="A11" s="65"/>
      <c r="B11" s="136"/>
      <c r="C11" s="135"/>
      <c r="D11" s="135"/>
      <c r="E11" s="135"/>
      <c r="F11" s="135"/>
      <c r="G11" s="135"/>
      <c r="H11" s="36"/>
      <c r="I11" s="135"/>
      <c r="J11" s="135"/>
      <c r="K11" s="135"/>
      <c r="L11" s="135"/>
      <c r="M11" s="135"/>
      <c r="N11" s="138"/>
      <c r="O11" s="64"/>
    </row>
    <row r="12" spans="1:15" ht="13.9" customHeight="1">
      <c r="A12" s="65"/>
      <c r="B12" s="109">
        <f>'OverDrive Statistics'!M10</f>
        <v>268910</v>
      </c>
      <c r="C12" s="110"/>
      <c r="D12" s="110"/>
      <c r="E12" s="97" t="s">
        <v>81</v>
      </c>
      <c r="F12" s="97"/>
      <c r="G12" s="97"/>
      <c r="H12" s="36"/>
      <c r="I12" s="111">
        <f>'OverDrive Statistics'!M6</f>
        <v>228130</v>
      </c>
      <c r="J12" s="110"/>
      <c r="K12" s="110"/>
      <c r="L12" s="97" t="s">
        <v>81</v>
      </c>
      <c r="M12" s="97"/>
      <c r="N12" s="112"/>
      <c r="O12" s="64"/>
    </row>
    <row r="13" spans="1:15" ht="13.9" customHeight="1">
      <c r="A13" s="65"/>
      <c r="B13" s="109">
        <f>'OverDrive Statistics'!M63</f>
        <v>163404</v>
      </c>
      <c r="C13" s="110"/>
      <c r="D13" s="110"/>
      <c r="E13" s="97" t="s">
        <v>82</v>
      </c>
      <c r="F13" s="97"/>
      <c r="G13" s="97"/>
      <c r="H13" s="36"/>
      <c r="I13" s="111">
        <f>'OverDrive Statistics'!M62</f>
        <v>112780</v>
      </c>
      <c r="J13" s="110"/>
      <c r="K13" s="110"/>
      <c r="L13" s="97" t="s">
        <v>82</v>
      </c>
      <c r="M13" s="97"/>
      <c r="N13" s="112"/>
      <c r="O13" s="64"/>
    </row>
    <row r="14" spans="1:15" ht="13.9" customHeight="1">
      <c r="A14" s="65"/>
      <c r="B14" s="66"/>
      <c r="C14" s="37"/>
      <c r="D14" s="37"/>
      <c r="E14" s="37"/>
      <c r="F14" s="37"/>
      <c r="G14" s="37"/>
      <c r="H14" s="36"/>
      <c r="I14" s="37"/>
      <c r="J14" s="67"/>
      <c r="K14" s="67"/>
      <c r="L14" s="67"/>
      <c r="M14" s="67"/>
      <c r="N14" s="68"/>
      <c r="O14" s="64"/>
    </row>
    <row r="15" spans="1:15" ht="13.9" customHeight="1">
      <c r="A15" s="65"/>
      <c r="B15" s="66"/>
      <c r="C15" s="37"/>
      <c r="D15" s="37"/>
      <c r="E15" s="37"/>
      <c r="F15" s="37"/>
      <c r="G15" s="37"/>
      <c r="H15" s="36"/>
      <c r="I15" s="37"/>
      <c r="J15" s="67"/>
      <c r="K15" s="67"/>
      <c r="L15" s="67"/>
      <c r="M15" s="67"/>
      <c r="N15" s="68"/>
      <c r="O15" s="64"/>
    </row>
    <row r="16" spans="1:15" ht="13.9" customHeight="1">
      <c r="A16" s="65"/>
      <c r="B16" s="66"/>
      <c r="C16" s="37"/>
      <c r="D16" s="37"/>
      <c r="E16" s="37"/>
      <c r="F16" s="37"/>
      <c r="G16" s="37"/>
      <c r="H16" s="36"/>
      <c r="I16" s="37"/>
      <c r="J16" s="37"/>
      <c r="K16" s="37"/>
      <c r="L16" s="37"/>
      <c r="M16" s="37"/>
      <c r="N16" s="69"/>
      <c r="O16" s="64"/>
    </row>
    <row r="17" spans="1:15" s="57" customFormat="1" ht="13.9" customHeight="1">
      <c r="A17" s="65"/>
      <c r="B17" s="66"/>
      <c r="C17" s="37"/>
      <c r="D17" s="37"/>
      <c r="E17" s="37"/>
      <c r="F17" s="37"/>
      <c r="G17" s="37"/>
      <c r="H17" s="36"/>
      <c r="I17" s="37"/>
      <c r="J17" s="37"/>
      <c r="K17" s="37"/>
      <c r="L17" s="37"/>
      <c r="M17" s="37"/>
      <c r="N17" s="69"/>
      <c r="O17" s="64"/>
    </row>
    <row r="18" spans="1:15" s="57" customFormat="1" ht="13.9" customHeight="1">
      <c r="A18" s="65"/>
      <c r="B18" s="66"/>
      <c r="C18" s="37"/>
      <c r="D18" s="37"/>
      <c r="E18" s="37"/>
      <c r="F18" s="37"/>
      <c r="G18" s="37"/>
      <c r="H18" s="36"/>
      <c r="I18" s="37"/>
      <c r="J18" s="37"/>
      <c r="K18" s="37"/>
      <c r="L18" s="37"/>
      <c r="M18" s="37"/>
      <c r="N18" s="69"/>
      <c r="O18" s="64"/>
    </row>
    <row r="19" spans="1:15" s="57" customFormat="1" ht="13.9" customHeight="1">
      <c r="A19" s="65"/>
      <c r="B19" s="66"/>
      <c r="C19" s="37"/>
      <c r="D19" s="37"/>
      <c r="E19" s="37"/>
      <c r="F19" s="37"/>
      <c r="G19" s="37"/>
      <c r="H19" s="36"/>
      <c r="I19" s="37"/>
      <c r="J19" s="37"/>
      <c r="K19" s="37"/>
      <c r="L19" s="37"/>
      <c r="M19" s="37"/>
      <c r="N19" s="69"/>
      <c r="O19" s="64"/>
    </row>
    <row r="20" spans="1:15" s="57" customFormat="1" ht="13.9" customHeight="1">
      <c r="A20" s="65"/>
      <c r="B20" s="70" t="s">
        <v>83</v>
      </c>
      <c r="C20" s="71"/>
      <c r="D20" s="37"/>
      <c r="E20" s="37"/>
      <c r="F20" s="37"/>
      <c r="G20" s="37"/>
      <c r="H20" s="36"/>
      <c r="I20" s="71" t="s">
        <v>35</v>
      </c>
      <c r="J20" s="71"/>
      <c r="K20" s="37"/>
      <c r="L20" s="37"/>
      <c r="M20" s="37"/>
      <c r="N20" s="69"/>
      <c r="O20" s="64"/>
    </row>
    <row r="21" spans="1:15" s="57" customFormat="1" ht="13.9" customHeight="1">
      <c r="A21" s="65"/>
      <c r="B21" s="70">
        <f>E23-B23</f>
        <v>-200148</v>
      </c>
      <c r="C21" s="71" t="s">
        <v>84</v>
      </c>
      <c r="D21" s="37"/>
      <c r="E21" s="37"/>
      <c r="F21" s="37"/>
      <c r="G21" s="37"/>
      <c r="H21" s="36"/>
      <c r="I21" s="71">
        <f>L23-I23</f>
        <v>-196877</v>
      </c>
      <c r="J21" s="71" t="s">
        <v>85</v>
      </c>
      <c r="K21" s="37"/>
      <c r="L21" s="37"/>
      <c r="M21" s="37"/>
      <c r="N21" s="69"/>
      <c r="O21" s="64"/>
    </row>
    <row r="22" spans="1:15" s="57" customFormat="1" ht="13.9" customHeight="1">
      <c r="A22" s="65"/>
      <c r="B22" s="94" t="str">
        <f>ROUND(B23/E23,3)*100 &amp; "% of titles circulated"</f>
        <v>425% of titles circulated</v>
      </c>
      <c r="C22" s="95"/>
      <c r="D22" s="95"/>
      <c r="E22" s="95"/>
      <c r="F22" s="95"/>
      <c r="G22" s="95"/>
      <c r="H22" s="72"/>
      <c r="I22" s="95" t="str">
        <f>ROUND(I23/L23,3)*100 &amp; "% of titles circulated"</f>
        <v>918.9% of titles circulated</v>
      </c>
      <c r="J22" s="95"/>
      <c r="K22" s="95"/>
      <c r="L22" s="95"/>
      <c r="M22" s="95"/>
      <c r="N22" s="96"/>
      <c r="O22" s="64"/>
    </row>
    <row r="23" spans="1:15" s="57" customFormat="1" ht="13.9" customHeight="1">
      <c r="A23" s="65"/>
      <c r="B23" s="73">
        <f>'OverDrive Statistics'!M85</f>
        <v>261735</v>
      </c>
      <c r="C23" s="97" t="s">
        <v>86</v>
      </c>
      <c r="D23" s="97"/>
      <c r="E23" s="74">
        <f>'OverDrive Statistics'!M29</f>
        <v>61587</v>
      </c>
      <c r="F23" s="75" t="s">
        <v>87</v>
      </c>
      <c r="G23" s="75"/>
      <c r="H23" s="72"/>
      <c r="I23" s="74">
        <f>'OverDrive Statistics'!M84</f>
        <v>220918</v>
      </c>
      <c r="J23" s="76" t="s">
        <v>86</v>
      </c>
      <c r="K23" s="76"/>
      <c r="L23" s="74">
        <f>'OverDrive Statistics'!M28</f>
        <v>24041</v>
      </c>
      <c r="M23" s="76" t="s">
        <v>87</v>
      </c>
      <c r="N23" s="77"/>
      <c r="O23" s="64"/>
    </row>
    <row r="24" spans="1:15" s="57" customFormat="1" ht="13.9" customHeight="1">
      <c r="A24" s="65"/>
      <c r="B24" s="7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79"/>
      <c r="O24" s="64"/>
    </row>
    <row r="25" spans="1:15" s="57" customFormat="1" ht="13.9" customHeight="1">
      <c r="A25" s="65"/>
      <c r="B25" s="7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79"/>
      <c r="O25" s="64"/>
    </row>
    <row r="26" spans="1:15" s="57" customFormat="1" ht="13.9" customHeight="1">
      <c r="A26" s="65"/>
      <c r="B26" s="78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79"/>
      <c r="O26" s="64"/>
    </row>
    <row r="27" spans="1:15" s="57" customFormat="1" ht="13.9" customHeight="1">
      <c r="A27" s="65"/>
      <c r="B27" s="7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79"/>
      <c r="O27" s="64"/>
    </row>
    <row r="28" spans="1:15" s="57" customFormat="1" ht="13.9" customHeight="1">
      <c r="A28" s="65"/>
      <c r="B28" s="7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79"/>
      <c r="O28" s="64"/>
    </row>
    <row r="29" spans="1:15" s="57" customFormat="1" ht="13.9" customHeight="1">
      <c r="A29" s="65"/>
      <c r="B29" s="78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79"/>
      <c r="O29" s="64"/>
    </row>
    <row r="30" spans="1:15" s="57" customFormat="1" ht="13.9" customHeight="1">
      <c r="A30" s="65"/>
      <c r="B30" s="7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79"/>
      <c r="O30" s="64"/>
    </row>
    <row r="31" spans="1:15" ht="13.9" customHeight="1">
      <c r="A31" s="65"/>
      <c r="B31" s="78"/>
      <c r="C31" s="36"/>
      <c r="D31" s="36"/>
      <c r="E31" s="36"/>
      <c r="F31" s="36"/>
      <c r="G31" s="36"/>
      <c r="H31" s="36"/>
      <c r="I31" s="40"/>
      <c r="J31" s="36"/>
      <c r="K31" s="36"/>
      <c r="L31" s="36"/>
      <c r="M31" s="36"/>
      <c r="N31" s="79"/>
      <c r="O31" s="64"/>
    </row>
    <row r="32" spans="1:15" ht="13.9" customHeight="1">
      <c r="B32" s="78"/>
      <c r="C32" s="36"/>
      <c r="D32" s="36"/>
      <c r="E32" s="36"/>
      <c r="F32" s="36"/>
      <c r="G32" s="36"/>
      <c r="H32" s="36"/>
      <c r="I32" s="40"/>
      <c r="J32" s="36"/>
      <c r="K32" s="36"/>
      <c r="L32" s="36"/>
      <c r="M32" s="36"/>
      <c r="N32" s="79"/>
    </row>
    <row r="33" spans="1:15" s="57" customFormat="1" ht="13.9" customHeight="1">
      <c r="A33" s="65"/>
      <c r="B33" s="78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79"/>
      <c r="O33" s="64"/>
    </row>
    <row r="34" spans="1:15" s="57" customFormat="1" ht="13.9" customHeight="1">
      <c r="A34" s="65"/>
      <c r="B34" s="78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79"/>
      <c r="O34" s="64"/>
    </row>
    <row r="35" spans="1:15" ht="13.9" customHeight="1">
      <c r="A35" s="65"/>
      <c r="B35" s="78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79"/>
      <c r="O35" s="64"/>
    </row>
    <row r="36" spans="1:15" ht="13.9" customHeight="1">
      <c r="A36" s="65"/>
      <c r="B36" s="78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79"/>
      <c r="O36" s="64"/>
    </row>
    <row r="37" spans="1:15" ht="13.9" customHeight="1">
      <c r="A37" s="65"/>
      <c r="B37" s="78"/>
      <c r="C37" s="36"/>
      <c r="D37" s="36"/>
      <c r="E37" s="36"/>
      <c r="F37" s="36"/>
      <c r="G37" s="36"/>
      <c r="H37" s="36"/>
      <c r="I37" s="39"/>
      <c r="J37" s="39"/>
      <c r="K37" s="39"/>
      <c r="L37" s="38"/>
      <c r="M37" s="38"/>
      <c r="N37" s="80"/>
      <c r="O37" s="64"/>
    </row>
    <row r="38" spans="1:15" ht="13.9" customHeight="1">
      <c r="A38" s="65"/>
      <c r="B38" s="78"/>
      <c r="C38" s="36"/>
      <c r="D38" s="36"/>
      <c r="E38" s="36"/>
      <c r="F38" s="36"/>
      <c r="G38" s="36"/>
      <c r="H38" s="36"/>
      <c r="I38" s="39"/>
      <c r="J38" s="39"/>
      <c r="K38" s="39"/>
      <c r="L38" s="36"/>
      <c r="M38" s="36"/>
      <c r="N38" s="79"/>
      <c r="O38" s="64"/>
    </row>
    <row r="39" spans="1:15" ht="13.9" customHeight="1">
      <c r="A39" s="65"/>
      <c r="B39" s="78"/>
      <c r="C39" s="36"/>
      <c r="D39" s="36"/>
      <c r="E39" s="36"/>
      <c r="F39" s="36"/>
      <c r="G39" s="36"/>
      <c r="H39" s="36"/>
      <c r="I39" s="39"/>
      <c r="J39" s="36"/>
      <c r="K39" s="36"/>
      <c r="L39" s="36"/>
      <c r="M39" s="36"/>
      <c r="N39" s="79"/>
      <c r="O39" s="64"/>
    </row>
    <row r="40" spans="1:15" ht="15">
      <c r="A40" s="65"/>
      <c r="B40" s="98" t="s">
        <v>88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00"/>
      <c r="O40" s="64"/>
    </row>
    <row r="41" spans="1:15" ht="9" customHeight="1" thickBot="1">
      <c r="A41" s="65"/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3"/>
      <c r="O41" s="64"/>
    </row>
    <row r="42" spans="1:15" ht="13.9" customHeight="1">
      <c r="A42" s="65"/>
      <c r="B42" s="104">
        <f>'BiblioBoard Statistics'!K3</f>
        <v>42</v>
      </c>
      <c r="C42" s="105"/>
      <c r="D42" s="105"/>
      <c r="E42" s="106" t="s">
        <v>89</v>
      </c>
      <c r="F42" s="106"/>
      <c r="G42" s="106"/>
      <c r="H42" s="81"/>
      <c r="I42" s="107">
        <f>'BiblioBoard Statistics'!K6</f>
        <v>192</v>
      </c>
      <c r="J42" s="107"/>
      <c r="K42" s="107"/>
      <c r="L42" s="106" t="s">
        <v>90</v>
      </c>
      <c r="M42" s="106"/>
      <c r="N42" s="108"/>
      <c r="O42" s="64"/>
    </row>
    <row r="43" spans="1:15" ht="13.9" customHeight="1">
      <c r="A43" s="65"/>
      <c r="B43" s="82"/>
      <c r="C43" s="83"/>
      <c r="D43" s="83"/>
      <c r="E43" s="83"/>
      <c r="F43" s="83"/>
      <c r="G43" s="83"/>
      <c r="H43" s="83"/>
      <c r="I43" s="84"/>
      <c r="J43" s="83"/>
      <c r="K43" s="83"/>
      <c r="L43" s="83"/>
      <c r="M43" s="83"/>
      <c r="N43" s="85"/>
      <c r="O43" s="64"/>
    </row>
    <row r="44" spans="1:15" ht="13.9" customHeight="1">
      <c r="A44" s="65"/>
      <c r="B44" s="82"/>
      <c r="C44" s="83"/>
      <c r="D44" s="83"/>
      <c r="E44" s="83"/>
      <c r="F44" s="83"/>
      <c r="G44" s="83"/>
      <c r="H44" s="83"/>
      <c r="I44" s="84"/>
      <c r="J44" s="83"/>
      <c r="K44" s="83"/>
      <c r="L44" s="83"/>
      <c r="M44" s="83"/>
      <c r="N44" s="85"/>
      <c r="O44" s="64"/>
    </row>
    <row r="45" spans="1:15" ht="13.9" customHeight="1">
      <c r="A45" s="65"/>
      <c r="B45" s="82"/>
      <c r="C45" s="83"/>
      <c r="D45" s="83"/>
      <c r="E45" s="83"/>
      <c r="F45" s="83"/>
      <c r="G45" s="83"/>
      <c r="H45" s="83"/>
      <c r="I45" s="84"/>
      <c r="J45" s="83"/>
      <c r="K45" s="83"/>
      <c r="L45" s="83"/>
      <c r="M45" s="83"/>
      <c r="N45" s="85"/>
      <c r="O45" s="64"/>
    </row>
    <row r="46" spans="1:15" ht="13.9" customHeight="1">
      <c r="A46" s="65"/>
      <c r="B46" s="82"/>
      <c r="C46" s="83"/>
      <c r="D46" s="83"/>
      <c r="E46" s="83"/>
      <c r="F46" s="83"/>
      <c r="G46" s="83"/>
      <c r="H46" s="83"/>
      <c r="I46" s="84"/>
      <c r="J46" s="83"/>
      <c r="K46" s="83"/>
      <c r="L46" s="83"/>
      <c r="M46" s="83"/>
      <c r="N46" s="85"/>
      <c r="O46" s="64"/>
    </row>
    <row r="47" spans="1:15" ht="13.9" customHeight="1">
      <c r="A47" s="65"/>
      <c r="B47" s="82"/>
      <c r="C47" s="83"/>
      <c r="D47" s="83"/>
      <c r="E47" s="83"/>
      <c r="F47" s="83"/>
      <c r="G47" s="83"/>
      <c r="H47" s="83"/>
      <c r="I47" s="84"/>
      <c r="J47" s="83"/>
      <c r="K47" s="83"/>
      <c r="L47" s="83"/>
      <c r="M47" s="83"/>
      <c r="N47" s="85"/>
      <c r="O47" s="64"/>
    </row>
    <row r="48" spans="1:15" ht="13.9" customHeight="1">
      <c r="A48" s="58"/>
      <c r="B48" s="82"/>
      <c r="C48" s="83"/>
      <c r="D48" s="83"/>
      <c r="E48" s="83"/>
      <c r="F48" s="83"/>
      <c r="G48" s="83"/>
      <c r="H48" s="83"/>
      <c r="I48" s="84"/>
      <c r="J48" s="83"/>
      <c r="K48" s="83"/>
      <c r="L48" s="83"/>
      <c r="M48" s="83"/>
      <c r="N48" s="85"/>
      <c r="O48" s="58"/>
    </row>
    <row r="49" spans="2:14" s="57" customFormat="1" ht="13.9" customHeight="1">
      <c r="B49" s="86"/>
      <c r="C49" s="87"/>
      <c r="D49" s="87"/>
      <c r="E49" s="87"/>
      <c r="F49" s="87"/>
      <c r="G49" s="87"/>
      <c r="H49" s="87"/>
      <c r="I49" s="88"/>
      <c r="J49" s="87"/>
      <c r="K49" s="87"/>
      <c r="L49" s="87"/>
      <c r="M49" s="87"/>
      <c r="N49" s="89"/>
    </row>
    <row r="50" spans="2:14" s="57" customFormat="1" ht="13.9" customHeight="1"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3"/>
    </row>
  </sheetData>
  <mergeCells count="23">
    <mergeCell ref="B1:N3"/>
    <mergeCell ref="B4:N5"/>
    <mergeCell ref="B6:N7"/>
    <mergeCell ref="B8:N9"/>
    <mergeCell ref="B10:G11"/>
    <mergeCell ref="I10:N11"/>
    <mergeCell ref="B12:D12"/>
    <mergeCell ref="E12:G12"/>
    <mergeCell ref="I12:K12"/>
    <mergeCell ref="L12:N12"/>
    <mergeCell ref="B13:D13"/>
    <mergeCell ref="E13:G13"/>
    <mergeCell ref="I13:K13"/>
    <mergeCell ref="L13:N13"/>
    <mergeCell ref="B50:N50"/>
    <mergeCell ref="B22:G22"/>
    <mergeCell ref="I22:N22"/>
    <mergeCell ref="C23:D23"/>
    <mergeCell ref="B40:N41"/>
    <mergeCell ref="B42:D42"/>
    <mergeCell ref="E42:G42"/>
    <mergeCell ref="I42:K42"/>
    <mergeCell ref="L42:N42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6"/>
  <sheetViews>
    <sheetView tabSelected="1" zoomScale="60" zoomScaleNormal="60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K29" sqref="K29"/>
    </sheetView>
  </sheetViews>
  <sheetFormatPr defaultRowHeight="15"/>
  <cols>
    <col min="1" max="1" width="42.7109375" bestFit="1" customWidth="1"/>
    <col min="2" max="13" width="13.7109375" customWidth="1"/>
    <col min="14" max="14" width="13.42578125" customWidth="1"/>
    <col min="15" max="15" width="9.28515625"/>
    <col min="16" max="16" width="9.28515625" customWidth="1"/>
    <col min="17" max="17" width="11.42578125" customWidth="1"/>
    <col min="18" max="77" width="9.28515625"/>
  </cols>
  <sheetData>
    <row r="1" spans="1:77" ht="21">
      <c r="A1" s="139" t="s">
        <v>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8"/>
    </row>
    <row r="2" spans="1:77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54</v>
      </c>
      <c r="N2" s="16" t="s">
        <v>63</v>
      </c>
    </row>
    <row r="3" spans="1:77">
      <c r="A3" s="1" t="s">
        <v>25</v>
      </c>
      <c r="B3" s="3">
        <f t="shared" ref="B3:N3" si="0">SUM(B4:B5)</f>
        <v>633</v>
      </c>
      <c r="C3" s="3">
        <f t="shared" si="0"/>
        <v>581</v>
      </c>
      <c r="D3" s="3">
        <f t="shared" si="0"/>
        <v>657</v>
      </c>
      <c r="E3" s="3">
        <f t="shared" si="0"/>
        <v>437</v>
      </c>
      <c r="F3" s="3">
        <f t="shared" si="0"/>
        <v>538</v>
      </c>
      <c r="G3" s="3">
        <f t="shared" si="0"/>
        <v>460</v>
      </c>
      <c r="H3" s="3">
        <f t="shared" si="0"/>
        <v>449</v>
      </c>
      <c r="I3" s="3">
        <f t="shared" si="0"/>
        <v>392</v>
      </c>
      <c r="J3" s="3">
        <f t="shared" si="0"/>
        <v>473</v>
      </c>
      <c r="K3" s="3">
        <f t="shared" si="0"/>
        <v>621</v>
      </c>
      <c r="L3" s="3">
        <f t="shared" si="0"/>
        <v>425</v>
      </c>
      <c r="M3" s="3">
        <f t="shared" si="0"/>
        <v>442</v>
      </c>
      <c r="N3" s="4">
        <f t="shared" si="0"/>
        <v>6108</v>
      </c>
    </row>
    <row r="4" spans="1:77" s="21" customFormat="1">
      <c r="A4" s="5" t="s">
        <v>26</v>
      </c>
      <c r="B4" s="6">
        <v>514</v>
      </c>
      <c r="C4" s="6">
        <v>456</v>
      </c>
      <c r="D4" s="6">
        <v>550</v>
      </c>
      <c r="E4" s="6">
        <v>375</v>
      </c>
      <c r="F4" s="6">
        <v>439</v>
      </c>
      <c r="G4" s="6">
        <v>400</v>
      </c>
      <c r="H4" s="6">
        <v>389</v>
      </c>
      <c r="I4" s="6">
        <v>349</v>
      </c>
      <c r="J4" s="6">
        <v>408</v>
      </c>
      <c r="K4" s="6">
        <v>542</v>
      </c>
      <c r="L4" s="6">
        <v>381</v>
      </c>
      <c r="M4" s="6">
        <v>388</v>
      </c>
      <c r="N4" s="17">
        <f>SUM(B4:M4)</f>
        <v>5191</v>
      </c>
      <c r="O4" s="1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</row>
    <row r="5" spans="1:77" s="21" customFormat="1">
      <c r="A5" s="5" t="s">
        <v>24</v>
      </c>
      <c r="B5" s="6">
        <v>119</v>
      </c>
      <c r="C5" s="6">
        <v>125</v>
      </c>
      <c r="D5" s="6">
        <v>107</v>
      </c>
      <c r="E5" s="6">
        <v>62</v>
      </c>
      <c r="F5" s="6">
        <v>99</v>
      </c>
      <c r="G5" s="6">
        <v>60</v>
      </c>
      <c r="H5" s="6">
        <v>60</v>
      </c>
      <c r="I5" s="6">
        <v>43</v>
      </c>
      <c r="J5" s="6">
        <v>65</v>
      </c>
      <c r="K5" s="6">
        <v>79</v>
      </c>
      <c r="L5" s="6">
        <v>44</v>
      </c>
      <c r="M5" s="6">
        <v>54</v>
      </c>
      <c r="N5" s="17">
        <f>SUM(B5:M5)</f>
        <v>917</v>
      </c>
      <c r="O5" s="1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>
      <c r="A6" s="1" t="s">
        <v>12</v>
      </c>
      <c r="B6" s="3">
        <f t="shared" ref="B6:N6" si="1">SUM(B7:B9)</f>
        <v>207433</v>
      </c>
      <c r="C6" s="3">
        <f t="shared" si="1"/>
        <v>184277</v>
      </c>
      <c r="D6" s="3">
        <f t="shared" si="1"/>
        <v>206497</v>
      </c>
      <c r="E6" s="3">
        <f t="shared" si="1"/>
        <v>202926</v>
      </c>
      <c r="F6" s="3">
        <f t="shared" si="1"/>
        <v>210944</v>
      </c>
      <c r="G6" s="3">
        <f t="shared" si="1"/>
        <v>209465</v>
      </c>
      <c r="H6" s="3">
        <f t="shared" si="1"/>
        <v>225134</v>
      </c>
      <c r="I6" s="3">
        <f t="shared" si="1"/>
        <v>226772</v>
      </c>
      <c r="J6" s="3">
        <f t="shared" si="1"/>
        <v>221162</v>
      </c>
      <c r="K6" s="3">
        <f t="shared" si="1"/>
        <v>232380</v>
      </c>
      <c r="L6" s="3">
        <f t="shared" si="1"/>
        <v>216525</v>
      </c>
      <c r="M6" s="3">
        <f t="shared" si="1"/>
        <v>228130</v>
      </c>
      <c r="N6" s="4">
        <f t="shared" si="1"/>
        <v>2571645</v>
      </c>
    </row>
    <row r="7" spans="1:77">
      <c r="A7" s="5" t="s">
        <v>13</v>
      </c>
      <c r="B7" s="6">
        <v>98937</v>
      </c>
      <c r="C7" s="6">
        <v>86034</v>
      </c>
      <c r="D7" s="6">
        <v>95007</v>
      </c>
      <c r="E7" s="6">
        <v>91430</v>
      </c>
      <c r="F7" s="6">
        <v>92354</v>
      </c>
      <c r="G7" s="6">
        <v>89523</v>
      </c>
      <c r="H7" s="6">
        <v>94422</v>
      </c>
      <c r="I7" s="6">
        <v>92454</v>
      </c>
      <c r="J7" s="6">
        <v>87223</v>
      </c>
      <c r="K7" s="6">
        <v>88352</v>
      </c>
      <c r="L7" s="6">
        <v>80835</v>
      </c>
      <c r="M7" s="6">
        <v>82124</v>
      </c>
      <c r="N7" s="17">
        <f t="shared" ref="N7:N8" si="2">SUM(B7:M7)</f>
        <v>1078695</v>
      </c>
      <c r="O7" s="19"/>
    </row>
    <row r="8" spans="1:77">
      <c r="A8" s="5" t="s">
        <v>28</v>
      </c>
      <c r="B8" s="6">
        <v>92273</v>
      </c>
      <c r="C8" s="6">
        <v>82806</v>
      </c>
      <c r="D8" s="6">
        <v>95716</v>
      </c>
      <c r="E8" s="6">
        <v>96448</v>
      </c>
      <c r="F8" s="6">
        <v>103405</v>
      </c>
      <c r="G8" s="6">
        <v>104303</v>
      </c>
      <c r="H8" s="6">
        <v>114778</v>
      </c>
      <c r="I8" s="6">
        <v>118735</v>
      </c>
      <c r="J8" s="6">
        <v>118794</v>
      </c>
      <c r="K8" s="6">
        <v>126866</v>
      </c>
      <c r="L8" s="6">
        <v>120947</v>
      </c>
      <c r="M8" s="6">
        <v>129183</v>
      </c>
      <c r="N8" s="17">
        <f t="shared" si="2"/>
        <v>1304254</v>
      </c>
      <c r="O8" s="19"/>
    </row>
    <row r="9" spans="1:77">
      <c r="A9" s="5" t="s">
        <v>41</v>
      </c>
      <c r="B9" s="6">
        <v>16223</v>
      </c>
      <c r="C9" s="6">
        <v>15437</v>
      </c>
      <c r="D9" s="6">
        <v>15774</v>
      </c>
      <c r="E9" s="6">
        <v>15048</v>
      </c>
      <c r="F9" s="6">
        <v>15185</v>
      </c>
      <c r="G9" s="6">
        <v>15639</v>
      </c>
      <c r="H9" s="6">
        <v>15934</v>
      </c>
      <c r="I9" s="6">
        <v>15583</v>
      </c>
      <c r="J9" s="6">
        <v>15145</v>
      </c>
      <c r="K9" s="6">
        <v>17162</v>
      </c>
      <c r="L9" s="6">
        <v>14743</v>
      </c>
      <c r="M9" s="6">
        <v>16823</v>
      </c>
      <c r="N9" s="17">
        <f>SUM(B9:M9)</f>
        <v>188696</v>
      </c>
      <c r="O9" s="19"/>
    </row>
    <row r="10" spans="1:77">
      <c r="A10" s="1" t="s">
        <v>14</v>
      </c>
      <c r="B10" s="3">
        <f>SUM(B11:B19)</f>
        <v>295411</v>
      </c>
      <c r="C10" s="3">
        <f t="shared" ref="C10:M10" si="3">SUM(C11:C19)</f>
        <v>260449</v>
      </c>
      <c r="D10" s="3">
        <f t="shared" si="3"/>
        <v>286595</v>
      </c>
      <c r="E10" s="3">
        <f t="shared" si="3"/>
        <v>268057</v>
      </c>
      <c r="F10" s="3">
        <f t="shared" si="3"/>
        <v>270008</v>
      </c>
      <c r="G10" s="3">
        <f t="shared" si="3"/>
        <v>270062</v>
      </c>
      <c r="H10" s="3">
        <f t="shared" si="3"/>
        <v>284508</v>
      </c>
      <c r="I10" s="3">
        <f t="shared" si="3"/>
        <v>281485</v>
      </c>
      <c r="J10" s="3">
        <f t="shared" si="3"/>
        <v>265564</v>
      </c>
      <c r="K10" s="3">
        <f t="shared" si="3"/>
        <v>270554</v>
      </c>
      <c r="L10" s="3">
        <f t="shared" si="3"/>
        <v>260772</v>
      </c>
      <c r="M10" s="3">
        <f t="shared" si="3"/>
        <v>268910</v>
      </c>
      <c r="N10" s="4">
        <f>SUM(N11:N19)</f>
        <v>3282375</v>
      </c>
    </row>
    <row r="11" spans="1:77">
      <c r="A11" s="5" t="s">
        <v>15</v>
      </c>
      <c r="B11" s="6">
        <v>265</v>
      </c>
      <c r="C11" s="6">
        <v>186</v>
      </c>
      <c r="D11" s="6">
        <v>174</v>
      </c>
      <c r="E11" s="6">
        <v>188</v>
      </c>
      <c r="F11" s="6">
        <v>147</v>
      </c>
      <c r="G11" s="6">
        <v>114</v>
      </c>
      <c r="H11" s="6">
        <v>193</v>
      </c>
      <c r="I11" s="6">
        <v>170</v>
      </c>
      <c r="J11" s="6">
        <v>176</v>
      </c>
      <c r="K11" s="6">
        <v>191</v>
      </c>
      <c r="L11" s="6">
        <v>164</v>
      </c>
      <c r="M11" s="6">
        <v>151</v>
      </c>
      <c r="N11" s="17">
        <f t="shared" ref="N11:N19" si="4">SUM(B11:M11)</f>
        <v>2119</v>
      </c>
      <c r="O11" s="19"/>
    </row>
    <row r="12" spans="1:77">
      <c r="A12" s="5" t="s">
        <v>16</v>
      </c>
      <c r="B12" s="6">
        <v>78505</v>
      </c>
      <c r="C12" s="6">
        <v>67359</v>
      </c>
      <c r="D12" s="6">
        <v>74345</v>
      </c>
      <c r="E12" s="6">
        <v>68797</v>
      </c>
      <c r="F12" s="6">
        <v>67983</v>
      </c>
      <c r="G12" s="6">
        <v>66606</v>
      </c>
      <c r="H12" s="6">
        <v>70052</v>
      </c>
      <c r="I12" s="6">
        <v>68008</v>
      </c>
      <c r="J12" s="6">
        <v>62913</v>
      </c>
      <c r="K12" s="6">
        <v>61576</v>
      </c>
      <c r="L12" s="6">
        <v>58945</v>
      </c>
      <c r="M12" s="6">
        <v>58916</v>
      </c>
      <c r="N12" s="17">
        <f t="shared" si="4"/>
        <v>804005</v>
      </c>
      <c r="O12" s="19"/>
    </row>
    <row r="13" spans="1:77">
      <c r="A13" s="5" t="s">
        <v>17</v>
      </c>
      <c r="B13" s="6">
        <v>20</v>
      </c>
      <c r="C13" s="6">
        <v>17</v>
      </c>
      <c r="D13" s="6">
        <v>18</v>
      </c>
      <c r="E13" s="6">
        <v>17</v>
      </c>
      <c r="F13" s="6">
        <v>13</v>
      </c>
      <c r="G13" s="6">
        <v>15</v>
      </c>
      <c r="H13" s="6">
        <v>14</v>
      </c>
      <c r="I13" s="6">
        <v>23</v>
      </c>
      <c r="J13" s="6">
        <v>15</v>
      </c>
      <c r="K13" s="6">
        <v>19</v>
      </c>
      <c r="L13" s="6">
        <v>16</v>
      </c>
      <c r="M13" s="6">
        <v>13</v>
      </c>
      <c r="N13" s="17">
        <f t="shared" si="4"/>
        <v>200</v>
      </c>
      <c r="O13" s="19"/>
    </row>
    <row r="14" spans="1:77">
      <c r="A14" s="5" t="s">
        <v>18</v>
      </c>
      <c r="B14" s="6">
        <v>1664</v>
      </c>
      <c r="C14" s="6">
        <v>1486</v>
      </c>
      <c r="D14" s="6">
        <v>1627</v>
      </c>
      <c r="E14" s="6">
        <v>1591</v>
      </c>
      <c r="F14" s="6">
        <v>1455</v>
      </c>
      <c r="G14" s="6">
        <v>1392</v>
      </c>
      <c r="H14" s="6">
        <v>1387</v>
      </c>
      <c r="I14" s="6">
        <v>1597</v>
      </c>
      <c r="J14" s="6">
        <v>1415</v>
      </c>
      <c r="K14" s="6">
        <v>1342</v>
      </c>
      <c r="L14" s="6">
        <v>1215</v>
      </c>
      <c r="M14" s="6">
        <v>1532</v>
      </c>
      <c r="N14" s="17">
        <f t="shared" si="4"/>
        <v>17703</v>
      </c>
      <c r="O14" s="19"/>
    </row>
    <row r="15" spans="1:77">
      <c r="A15" s="5" t="s">
        <v>19</v>
      </c>
      <c r="B15" s="6">
        <v>100961</v>
      </c>
      <c r="C15" s="6">
        <v>87351</v>
      </c>
      <c r="D15" s="6">
        <v>97630</v>
      </c>
      <c r="E15" s="6">
        <v>90347</v>
      </c>
      <c r="F15" s="6">
        <v>90635</v>
      </c>
      <c r="G15" s="6">
        <v>91639</v>
      </c>
      <c r="H15" s="6">
        <v>97010</v>
      </c>
      <c r="I15" s="6">
        <v>95321</v>
      </c>
      <c r="J15" s="6">
        <v>88030</v>
      </c>
      <c r="K15" s="6">
        <v>87543</v>
      </c>
      <c r="L15" s="6">
        <v>85407</v>
      </c>
      <c r="M15" s="6">
        <v>87165</v>
      </c>
      <c r="N15" s="17">
        <f t="shared" si="4"/>
        <v>1099039</v>
      </c>
      <c r="O15" s="19"/>
    </row>
    <row r="16" spans="1:77">
      <c r="A16" s="5" t="s">
        <v>32</v>
      </c>
      <c r="B16" s="6">
        <v>226</v>
      </c>
      <c r="C16" s="6">
        <v>241</v>
      </c>
      <c r="D16" s="6">
        <v>245</v>
      </c>
      <c r="E16" s="6">
        <v>226</v>
      </c>
      <c r="F16" s="6">
        <v>268</v>
      </c>
      <c r="G16" s="6">
        <v>272</v>
      </c>
      <c r="H16" s="6">
        <v>328</v>
      </c>
      <c r="I16" s="6">
        <v>272</v>
      </c>
      <c r="J16" s="6">
        <v>355</v>
      </c>
      <c r="K16" s="6">
        <v>344</v>
      </c>
      <c r="L16" s="6">
        <v>291</v>
      </c>
      <c r="M16" s="6">
        <v>320</v>
      </c>
      <c r="N16" s="17">
        <f t="shared" si="4"/>
        <v>3388</v>
      </c>
      <c r="O16" s="19"/>
    </row>
    <row r="17" spans="1:16">
      <c r="A17" s="5" t="s">
        <v>29</v>
      </c>
      <c r="B17" s="6">
        <v>0</v>
      </c>
      <c r="C17" s="6">
        <v>0</v>
      </c>
      <c r="D17" s="6">
        <v>0</v>
      </c>
      <c r="E17" s="6">
        <v>0</v>
      </c>
      <c r="F17" s="6">
        <v>3</v>
      </c>
      <c r="G17" s="6">
        <v>2</v>
      </c>
      <c r="H17" s="6">
        <v>1</v>
      </c>
      <c r="I17" s="6">
        <v>2</v>
      </c>
      <c r="J17" s="6">
        <v>1</v>
      </c>
      <c r="K17" s="6">
        <v>0</v>
      </c>
      <c r="L17" s="6">
        <v>2</v>
      </c>
      <c r="M17" s="6">
        <v>2</v>
      </c>
      <c r="N17" s="17">
        <f t="shared" si="4"/>
        <v>13</v>
      </c>
      <c r="O17" s="19"/>
    </row>
    <row r="18" spans="1:16">
      <c r="A18" s="5" t="s">
        <v>27</v>
      </c>
      <c r="B18" s="6">
        <v>88859</v>
      </c>
      <c r="C18" s="6">
        <v>79238</v>
      </c>
      <c r="D18" s="6">
        <v>87589</v>
      </c>
      <c r="E18" s="6">
        <v>84086</v>
      </c>
      <c r="F18" s="6">
        <v>86363</v>
      </c>
      <c r="G18" s="6">
        <v>85800</v>
      </c>
      <c r="H18" s="6">
        <v>92535</v>
      </c>
      <c r="I18" s="6">
        <v>93650</v>
      </c>
      <c r="J18" s="6">
        <v>91598</v>
      </c>
      <c r="K18" s="6">
        <v>94589</v>
      </c>
      <c r="L18" s="6">
        <v>92821</v>
      </c>
      <c r="M18" s="6">
        <v>97306</v>
      </c>
      <c r="N18" s="17">
        <f t="shared" si="4"/>
        <v>1074434</v>
      </c>
      <c r="O18" s="19"/>
    </row>
    <row r="19" spans="1:16">
      <c r="A19" s="5" t="s">
        <v>40</v>
      </c>
      <c r="B19" s="6">
        <v>24911</v>
      </c>
      <c r="C19" s="6">
        <v>24571</v>
      </c>
      <c r="D19" s="6">
        <v>24967</v>
      </c>
      <c r="E19" s="6">
        <v>22805</v>
      </c>
      <c r="F19" s="6">
        <v>23141</v>
      </c>
      <c r="G19" s="6">
        <v>24222</v>
      </c>
      <c r="H19" s="6">
        <v>22988</v>
      </c>
      <c r="I19" s="6">
        <v>22442</v>
      </c>
      <c r="J19" s="6">
        <v>21061</v>
      </c>
      <c r="K19" s="6">
        <v>24950</v>
      </c>
      <c r="L19" s="6">
        <v>21911</v>
      </c>
      <c r="M19" s="6">
        <v>23505</v>
      </c>
      <c r="N19" s="17">
        <f t="shared" si="4"/>
        <v>281474</v>
      </c>
      <c r="O19" s="19"/>
    </row>
    <row r="20" spans="1:16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2"/>
      <c r="O20" s="19"/>
    </row>
    <row r="21" spans="1:16">
      <c r="A21" s="7" t="s">
        <v>20</v>
      </c>
      <c r="B21" s="8">
        <f>SUM(B3,B6,B10)</f>
        <v>503477</v>
      </c>
      <c r="C21" s="8">
        <f t="shared" ref="C21:M21" si="5">SUM(C3,C6,C10)</f>
        <v>445307</v>
      </c>
      <c r="D21" s="8">
        <f t="shared" si="5"/>
        <v>493749</v>
      </c>
      <c r="E21" s="8">
        <f t="shared" si="5"/>
        <v>471420</v>
      </c>
      <c r="F21" s="8">
        <f t="shared" si="5"/>
        <v>481490</v>
      </c>
      <c r="G21" s="8">
        <f t="shared" si="5"/>
        <v>479987</v>
      </c>
      <c r="H21" s="8">
        <f t="shared" si="5"/>
        <v>510091</v>
      </c>
      <c r="I21" s="8">
        <f t="shared" si="5"/>
        <v>508649</v>
      </c>
      <c r="J21" s="8">
        <f t="shared" si="5"/>
        <v>487199</v>
      </c>
      <c r="K21" s="8">
        <f t="shared" si="5"/>
        <v>503555</v>
      </c>
      <c r="L21" s="8">
        <f t="shared" si="5"/>
        <v>477722</v>
      </c>
      <c r="M21" s="8">
        <f t="shared" si="5"/>
        <v>497482</v>
      </c>
      <c r="N21" s="23">
        <f>SUM(N3,N6,N10)</f>
        <v>5860128</v>
      </c>
      <c r="P21" t="s">
        <v>39</v>
      </c>
    </row>
    <row r="22" spans="1:16">
      <c r="A22" s="46"/>
    </row>
    <row r="24" spans="1:16">
      <c r="A24" s="141" t="s">
        <v>93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</row>
    <row r="25" spans="1:16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</row>
    <row r="26" spans="1:16" ht="60">
      <c r="A26" s="9" t="s">
        <v>42</v>
      </c>
      <c r="B26" s="10" t="s">
        <v>64</v>
      </c>
      <c r="C26" s="10" t="s">
        <v>65</v>
      </c>
      <c r="D26" s="10" t="s">
        <v>66</v>
      </c>
      <c r="E26" s="10" t="s">
        <v>67</v>
      </c>
      <c r="F26" s="10" t="s">
        <v>68</v>
      </c>
      <c r="G26" s="10" t="s">
        <v>69</v>
      </c>
      <c r="H26" s="10" t="s">
        <v>70</v>
      </c>
      <c r="I26" s="10" t="s">
        <v>71</v>
      </c>
      <c r="J26" s="10" t="s">
        <v>72</v>
      </c>
      <c r="K26" s="10" t="s">
        <v>73</v>
      </c>
      <c r="L26" s="10" t="s">
        <v>74</v>
      </c>
      <c r="M26" s="11" t="s">
        <v>75</v>
      </c>
    </row>
    <row r="27" spans="1:16">
      <c r="A27" s="1" t="s">
        <v>36</v>
      </c>
      <c r="B27" s="3">
        <f t="shared" ref="B27:M27" si="6">SUM(B28:B29)</f>
        <v>80468</v>
      </c>
      <c r="C27" s="3">
        <f t="shared" si="6"/>
        <v>80945</v>
      </c>
      <c r="D27" s="3">
        <f t="shared" si="6"/>
        <v>81365</v>
      </c>
      <c r="E27" s="3">
        <f t="shared" si="6"/>
        <v>81607</v>
      </c>
      <c r="F27" s="3">
        <f t="shared" si="6"/>
        <v>82531</v>
      </c>
      <c r="G27" s="3">
        <f t="shared" si="6"/>
        <v>82921</v>
      </c>
      <c r="H27" s="3">
        <f t="shared" si="6"/>
        <v>83402</v>
      </c>
      <c r="I27" s="3">
        <f t="shared" si="6"/>
        <v>83843</v>
      </c>
      <c r="J27" s="3">
        <f t="shared" si="6"/>
        <v>84230</v>
      </c>
      <c r="K27" s="3">
        <f t="shared" si="6"/>
        <v>84450</v>
      </c>
      <c r="L27" s="3">
        <f t="shared" si="6"/>
        <v>85184</v>
      </c>
      <c r="M27" s="4">
        <f t="shared" si="6"/>
        <v>85628</v>
      </c>
    </row>
    <row r="28" spans="1:16">
      <c r="A28" s="12" t="s">
        <v>35</v>
      </c>
      <c r="B28" s="19">
        <f>22242+10</f>
        <v>22252</v>
      </c>
      <c r="C28" s="19">
        <f>22419+10</f>
        <v>22429</v>
      </c>
      <c r="D28" s="19">
        <v>22511</v>
      </c>
      <c r="E28" s="19">
        <v>22544</v>
      </c>
      <c r="F28" s="19">
        <v>22787</v>
      </c>
      <c r="G28" s="19">
        <v>22912</v>
      </c>
      <c r="H28" s="19">
        <v>23166</v>
      </c>
      <c r="I28" s="19">
        <v>23276</v>
      </c>
      <c r="J28" s="19">
        <v>23391</v>
      </c>
      <c r="K28" s="19">
        <f>23371+129</f>
        <v>23500</v>
      </c>
      <c r="L28" s="19">
        <f>23524+166</f>
        <v>23690</v>
      </c>
      <c r="M28" s="22">
        <f>23826+215</f>
        <v>24041</v>
      </c>
    </row>
    <row r="29" spans="1:16">
      <c r="A29" s="12" t="s">
        <v>38</v>
      </c>
      <c r="B29" s="19">
        <f>46509+2103+3545+6022+37</f>
        <v>58216</v>
      </c>
      <c r="C29" s="19">
        <f>46689+2037+3736+6017+37</f>
        <v>58516</v>
      </c>
      <c r="D29" s="19">
        <v>58854</v>
      </c>
      <c r="E29" s="19">
        <v>59063</v>
      </c>
      <c r="F29" s="19">
        <v>59744</v>
      </c>
      <c r="G29" s="19">
        <v>60009</v>
      </c>
      <c r="H29" s="19">
        <v>60236</v>
      </c>
      <c r="I29" s="19">
        <v>60567</v>
      </c>
      <c r="J29" s="19">
        <v>60839</v>
      </c>
      <c r="K29" s="19">
        <f>47897+2198+4625+6230</f>
        <v>60950</v>
      </c>
      <c r="L29" s="19">
        <f>48139+2130+4866+6359</f>
        <v>61494</v>
      </c>
      <c r="M29" s="22">
        <f>48327+1993+5019+6248</f>
        <v>61587</v>
      </c>
    </row>
    <row r="30" spans="1:16">
      <c r="A30" s="1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2"/>
    </row>
    <row r="31" spans="1:16">
      <c r="A31" s="1" t="s">
        <v>37</v>
      </c>
      <c r="B31" s="3">
        <f t="shared" ref="B31:M31" si="7">SUM(B32:B33)</f>
        <v>226815</v>
      </c>
      <c r="C31" s="3">
        <f t="shared" si="7"/>
        <v>227398</v>
      </c>
      <c r="D31" s="3">
        <f t="shared" si="7"/>
        <v>229806</v>
      </c>
      <c r="E31" s="3">
        <f t="shared" si="7"/>
        <v>230927</v>
      </c>
      <c r="F31" s="3">
        <f t="shared" si="7"/>
        <v>233068</v>
      </c>
      <c r="G31" s="3">
        <f t="shared" si="7"/>
        <v>233801</v>
      </c>
      <c r="H31" s="3">
        <f t="shared" si="7"/>
        <v>236074</v>
      </c>
      <c r="I31" s="3">
        <f t="shared" si="7"/>
        <v>237110</v>
      </c>
      <c r="J31" s="3">
        <f t="shared" si="7"/>
        <v>238046</v>
      </c>
      <c r="K31" s="3">
        <f t="shared" si="7"/>
        <v>237349</v>
      </c>
      <c r="L31" s="3">
        <f t="shared" si="7"/>
        <v>241270</v>
      </c>
      <c r="M31" s="4">
        <f t="shared" si="7"/>
        <v>243178</v>
      </c>
    </row>
    <row r="32" spans="1:16">
      <c r="A32" s="12" t="s">
        <v>35</v>
      </c>
      <c r="B32" s="19">
        <f>59634+144</f>
        <v>59778</v>
      </c>
      <c r="C32" s="19">
        <f>60056+144</f>
        <v>60200</v>
      </c>
      <c r="D32" s="19">
        <v>60896</v>
      </c>
      <c r="E32" s="19">
        <v>61852</v>
      </c>
      <c r="F32" s="19">
        <v>62435</v>
      </c>
      <c r="G32" s="19">
        <v>62672</v>
      </c>
      <c r="H32" s="19">
        <v>64136</v>
      </c>
      <c r="I32" s="19">
        <v>64415</v>
      </c>
      <c r="J32" s="19">
        <v>64625</v>
      </c>
      <c r="K32" s="19">
        <f>64185+467</f>
        <v>64652</v>
      </c>
      <c r="L32" s="19">
        <f>65051+566</f>
        <v>65617</v>
      </c>
      <c r="M32" s="22">
        <f>66029+697</f>
        <v>66726</v>
      </c>
    </row>
    <row r="33" spans="1:14">
      <c r="A33" s="12" t="s">
        <v>38</v>
      </c>
      <c r="B33" s="19">
        <f>142154+6160+6997+11258+468</f>
        <v>167037</v>
      </c>
      <c r="C33" s="19">
        <f>142631+5478+7485+11136+468</f>
        <v>167198</v>
      </c>
      <c r="D33" s="19">
        <v>168910</v>
      </c>
      <c r="E33" s="19">
        <v>169075</v>
      </c>
      <c r="F33" s="19">
        <v>170633</v>
      </c>
      <c r="G33" s="19">
        <v>171129</v>
      </c>
      <c r="H33" s="19">
        <v>171938</v>
      </c>
      <c r="I33" s="19">
        <v>172695</v>
      </c>
      <c r="J33" s="19">
        <v>173421</v>
      </c>
      <c r="K33" s="19">
        <f>145430+5389+10204+11674</f>
        <v>172697</v>
      </c>
      <c r="L33" s="19">
        <f>147876+5185+10875+11717</f>
        <v>175653</v>
      </c>
      <c r="M33" s="22">
        <f>148541+4909+11343+11659</f>
        <v>176452</v>
      </c>
    </row>
    <row r="34" spans="1:14">
      <c r="A34" s="12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2"/>
    </row>
    <row r="35" spans="1:14">
      <c r="A35" s="1" t="s">
        <v>43</v>
      </c>
      <c r="B35" s="3">
        <f>SUM(B36:B37)</f>
        <v>30625</v>
      </c>
      <c r="C35" s="19">
        <f>SUM(C36:C37)</f>
        <v>24139</v>
      </c>
      <c r="D35" s="3">
        <f t="shared" ref="D35:M35" si="8">SUM(D36:D37)</f>
        <v>32079</v>
      </c>
      <c r="E35" s="3">
        <f t="shared" si="8"/>
        <v>33130</v>
      </c>
      <c r="F35" s="3">
        <f t="shared" si="8"/>
        <v>33137</v>
      </c>
      <c r="G35" s="3">
        <f t="shared" si="8"/>
        <v>33156</v>
      </c>
      <c r="H35" s="3">
        <f t="shared" si="8"/>
        <v>34895</v>
      </c>
      <c r="I35" s="3">
        <f t="shared" si="8"/>
        <v>34909</v>
      </c>
      <c r="J35" s="3">
        <f t="shared" si="8"/>
        <v>34927</v>
      </c>
      <c r="K35" s="3">
        <f t="shared" si="8"/>
        <v>33294</v>
      </c>
      <c r="L35" s="3">
        <f t="shared" si="8"/>
        <v>35312</v>
      </c>
      <c r="M35" s="4">
        <f t="shared" si="8"/>
        <v>35958</v>
      </c>
    </row>
    <row r="36" spans="1:14">
      <c r="A36" s="12" t="s">
        <v>35</v>
      </c>
      <c r="B36" s="19">
        <v>6696</v>
      </c>
      <c r="C36" s="19"/>
      <c r="D36" s="19">
        <v>7328</v>
      </c>
      <c r="E36" s="19">
        <v>7686</v>
      </c>
      <c r="F36" s="19">
        <v>7690</v>
      </c>
      <c r="G36" s="19">
        <v>7696</v>
      </c>
      <c r="H36" s="19">
        <v>8401</v>
      </c>
      <c r="I36" s="19">
        <v>8406</v>
      </c>
      <c r="J36" s="19">
        <v>8421</v>
      </c>
      <c r="K36" s="19">
        <v>8067</v>
      </c>
      <c r="L36" s="19">
        <v>8544</v>
      </c>
      <c r="M36" s="22">
        <v>8823</v>
      </c>
    </row>
    <row r="37" spans="1:14">
      <c r="A37" s="12" t="s">
        <v>38</v>
      </c>
      <c r="B37" s="61">
        <v>23929</v>
      </c>
      <c r="C37" s="61">
        <v>24139</v>
      </c>
      <c r="D37" s="61">
        <v>24751</v>
      </c>
      <c r="E37" s="61">
        <v>25444</v>
      </c>
      <c r="F37" s="61">
        <v>25447</v>
      </c>
      <c r="G37" s="61">
        <v>25460</v>
      </c>
      <c r="H37" s="61">
        <v>26494</v>
      </c>
      <c r="I37" s="61">
        <v>26503</v>
      </c>
      <c r="J37" s="61">
        <v>26506</v>
      </c>
      <c r="K37" s="61">
        <v>25227</v>
      </c>
      <c r="L37" s="61">
        <v>26768</v>
      </c>
      <c r="M37" s="62">
        <v>27135</v>
      </c>
    </row>
    <row r="38" spans="1:14">
      <c r="A38" s="4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4">
      <c r="A39" s="31"/>
    </row>
    <row r="40" spans="1:14" s="2" customFormat="1" ht="21">
      <c r="A40" s="26" t="s">
        <v>33</v>
      </c>
      <c r="B40" s="27">
        <v>43497</v>
      </c>
      <c r="C40" s="27">
        <v>43528</v>
      </c>
      <c r="D40" s="27">
        <v>43561</v>
      </c>
      <c r="E40" s="27">
        <v>43592</v>
      </c>
      <c r="F40" s="27">
        <v>43620</v>
      </c>
      <c r="G40" s="27">
        <v>43650</v>
      </c>
      <c r="H40" s="27">
        <v>43678</v>
      </c>
      <c r="I40" s="27">
        <v>43709</v>
      </c>
      <c r="J40" s="27">
        <v>43739</v>
      </c>
      <c r="K40" s="27">
        <v>43770</v>
      </c>
      <c r="L40" s="27">
        <v>43803</v>
      </c>
      <c r="M40" s="28">
        <v>43831</v>
      </c>
      <c r="N40" s="41"/>
    </row>
    <row r="41" spans="1:14" s="34" customFormat="1">
      <c r="A41" s="42" t="s">
        <v>35</v>
      </c>
      <c r="B41" s="34">
        <v>4247765</v>
      </c>
      <c r="C41" s="34">
        <v>4344942</v>
      </c>
      <c r="D41" s="34">
        <v>4436271</v>
      </c>
      <c r="E41" s="34">
        <v>4499123</v>
      </c>
      <c r="F41" s="34">
        <v>4627854</v>
      </c>
      <c r="G41" s="34">
        <v>4741640</v>
      </c>
      <c r="H41" s="34">
        <v>5083003</v>
      </c>
      <c r="I41" s="34">
        <v>5090794</v>
      </c>
      <c r="J41" s="34">
        <v>5097014</v>
      </c>
      <c r="K41" s="34">
        <v>5175838</v>
      </c>
      <c r="L41" s="34">
        <v>5292237</v>
      </c>
      <c r="M41" s="34">
        <v>5385935</v>
      </c>
      <c r="N41" s="42"/>
    </row>
    <row r="42" spans="1:14" s="34" customFormat="1">
      <c r="A42" s="32" t="s">
        <v>38</v>
      </c>
      <c r="B42" s="33">
        <v>7845399</v>
      </c>
      <c r="C42" s="33">
        <v>7982674</v>
      </c>
      <c r="D42" s="33">
        <v>8107457</v>
      </c>
      <c r="E42" s="33">
        <v>8277870</v>
      </c>
      <c r="F42" s="33">
        <v>8371573</v>
      </c>
      <c r="G42" s="33">
        <v>8466669</v>
      </c>
      <c r="H42" s="33">
        <v>8845805</v>
      </c>
      <c r="I42" s="33">
        <v>8857694</v>
      </c>
      <c r="J42" s="33">
        <v>8865637</v>
      </c>
      <c r="K42" s="33">
        <v>8946725</v>
      </c>
      <c r="L42" s="33">
        <v>9069840</v>
      </c>
      <c r="M42" s="33">
        <v>9182279</v>
      </c>
      <c r="N42" s="42"/>
    </row>
    <row r="43" spans="1:14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4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4" ht="21">
      <c r="A45" s="139" t="s">
        <v>76</v>
      </c>
      <c r="B45" s="142"/>
    </row>
    <row r="46" spans="1:14">
      <c r="A46" s="12" t="s">
        <v>0</v>
      </c>
      <c r="B46" s="29">
        <f>87306/31</f>
        <v>2816.3225806451615</v>
      </c>
    </row>
    <row r="47" spans="1:14">
      <c r="A47" s="12" t="s">
        <v>1</v>
      </c>
      <c r="B47" s="29">
        <f>84696/28</f>
        <v>3024.8571428571427</v>
      </c>
    </row>
    <row r="48" spans="1:14">
      <c r="A48" s="12" t="s">
        <v>2</v>
      </c>
      <c r="B48" s="29">
        <f>88231/31</f>
        <v>2846.1612903225805</v>
      </c>
    </row>
    <row r="49" spans="1:13">
      <c r="A49" s="12" t="s">
        <v>3</v>
      </c>
      <c r="B49" s="29">
        <f>86805/30</f>
        <v>2893.5</v>
      </c>
    </row>
    <row r="50" spans="1:13">
      <c r="A50" s="12" t="s">
        <v>4</v>
      </c>
      <c r="B50" s="29">
        <f>87913/31</f>
        <v>2835.9032258064517</v>
      </c>
    </row>
    <row r="51" spans="1:13">
      <c r="A51" s="12" t="s">
        <v>5</v>
      </c>
      <c r="B51" s="29">
        <f>88194/30</f>
        <v>2939.8</v>
      </c>
    </row>
    <row r="52" spans="1:13">
      <c r="A52" s="12" t="s">
        <v>6</v>
      </c>
      <c r="B52" s="29">
        <f>90445/31</f>
        <v>2917.5806451612902</v>
      </c>
    </row>
    <row r="53" spans="1:13">
      <c r="A53" s="12" t="s">
        <v>7</v>
      </c>
      <c r="B53" s="29">
        <f>90525/31</f>
        <v>2920.1612903225805</v>
      </c>
    </row>
    <row r="54" spans="1:13">
      <c r="A54" s="12" t="s">
        <v>8</v>
      </c>
      <c r="B54" s="29">
        <f>90113/30</f>
        <v>3003.7666666666669</v>
      </c>
    </row>
    <row r="55" spans="1:13">
      <c r="A55" s="12" t="s">
        <v>9</v>
      </c>
      <c r="B55" s="29">
        <f>90645/31</f>
        <v>2924.0322580645161</v>
      </c>
    </row>
    <row r="56" spans="1:13">
      <c r="A56" s="12" t="s">
        <v>10</v>
      </c>
      <c r="B56" s="29">
        <f>88900/30</f>
        <v>2963.3333333333335</v>
      </c>
    </row>
    <row r="57" spans="1:13">
      <c r="A57" s="12" t="s">
        <v>11</v>
      </c>
      <c r="B57" s="29">
        <f>91138/31</f>
        <v>2939.9354838709678</v>
      </c>
    </row>
    <row r="58" spans="1:13">
      <c r="A58" s="30"/>
      <c r="B58" s="30"/>
    </row>
    <row r="61" spans="1:13" s="2" customFormat="1" ht="21">
      <c r="A61" s="26" t="s">
        <v>31</v>
      </c>
      <c r="B61" s="27">
        <v>43497</v>
      </c>
      <c r="C61" s="27">
        <v>43528</v>
      </c>
      <c r="D61" s="27">
        <v>43561</v>
      </c>
      <c r="E61" s="27">
        <v>43592</v>
      </c>
      <c r="F61" s="27">
        <v>43620</v>
      </c>
      <c r="G61" s="27">
        <v>43650</v>
      </c>
      <c r="H61" s="27">
        <v>43678</v>
      </c>
      <c r="I61" s="27">
        <v>43709</v>
      </c>
      <c r="J61" s="27">
        <v>43739</v>
      </c>
      <c r="K61" s="27">
        <v>43770</v>
      </c>
      <c r="L61" s="27">
        <v>43800</v>
      </c>
      <c r="M61" s="28">
        <v>43832</v>
      </c>
    </row>
    <row r="62" spans="1:13">
      <c r="A62" s="24" t="s">
        <v>21</v>
      </c>
      <c r="B62" s="34">
        <v>110454</v>
      </c>
      <c r="C62" s="34">
        <v>113384</v>
      </c>
      <c r="D62" s="34">
        <v>113612</v>
      </c>
      <c r="E62" s="34">
        <v>114229</v>
      </c>
      <c r="F62" s="34">
        <v>114987</v>
      </c>
      <c r="G62" s="34">
        <v>115457</v>
      </c>
      <c r="J62" s="34">
        <v>119648</v>
      </c>
      <c r="K62" s="34">
        <v>119850</v>
      </c>
      <c r="L62" s="34">
        <v>118237</v>
      </c>
      <c r="M62" s="13">
        <v>112780</v>
      </c>
    </row>
    <row r="63" spans="1:13">
      <c r="A63" s="24" t="s">
        <v>22</v>
      </c>
      <c r="B63" s="34">
        <v>179104</v>
      </c>
      <c r="C63" s="34">
        <v>182766</v>
      </c>
      <c r="D63" s="34">
        <v>177140</v>
      </c>
      <c r="E63" s="34">
        <v>174246</v>
      </c>
      <c r="F63" s="34">
        <v>170358</v>
      </c>
      <c r="G63" s="34">
        <v>167636</v>
      </c>
      <c r="J63" s="34">
        <v>167173</v>
      </c>
      <c r="K63" s="34">
        <v>166277</v>
      </c>
      <c r="L63" s="34">
        <v>161514</v>
      </c>
      <c r="M63" s="13">
        <v>163404</v>
      </c>
    </row>
    <row r="64" spans="1:13">
      <c r="A64" s="25" t="s">
        <v>23</v>
      </c>
      <c r="B64" s="33">
        <v>5</v>
      </c>
      <c r="C64" s="33">
        <v>11</v>
      </c>
      <c r="D64" s="33">
        <v>8</v>
      </c>
      <c r="E64" s="33">
        <v>7</v>
      </c>
      <c r="F64" s="33">
        <v>6</v>
      </c>
      <c r="G64" s="33">
        <v>9</v>
      </c>
      <c r="H64" s="14"/>
      <c r="I64" s="14"/>
      <c r="J64" s="14">
        <v>0</v>
      </c>
      <c r="K64" s="14">
        <v>3</v>
      </c>
      <c r="L64" s="14">
        <v>1</v>
      </c>
      <c r="M64" s="15">
        <v>3</v>
      </c>
    </row>
    <row r="65" spans="1:3">
      <c r="A65" s="31"/>
    </row>
    <row r="67" spans="1:3" ht="21">
      <c r="A67" s="26" t="s">
        <v>30</v>
      </c>
      <c r="B67" s="60" t="s">
        <v>77</v>
      </c>
      <c r="C67" s="59" t="s">
        <v>78</v>
      </c>
    </row>
    <row r="68" spans="1:3">
      <c r="A68" s="24">
        <v>43497</v>
      </c>
      <c r="B68">
        <v>43.94</v>
      </c>
      <c r="C68" s="13">
        <v>31.55</v>
      </c>
    </row>
    <row r="69" spans="1:3">
      <c r="A69" s="24">
        <v>43525</v>
      </c>
      <c r="B69">
        <v>44.95</v>
      </c>
      <c r="C69" s="13">
        <v>31.6</v>
      </c>
    </row>
    <row r="70" spans="1:3">
      <c r="A70" s="24">
        <v>43556</v>
      </c>
      <c r="B70">
        <v>47.43</v>
      </c>
      <c r="C70" s="13"/>
    </row>
    <row r="71" spans="1:3">
      <c r="A71" s="24">
        <v>43586</v>
      </c>
      <c r="B71">
        <v>47.56</v>
      </c>
      <c r="C71" s="13"/>
    </row>
    <row r="72" spans="1:3">
      <c r="A72" s="24">
        <v>43617</v>
      </c>
      <c r="B72">
        <v>47.49</v>
      </c>
      <c r="C72" s="13"/>
    </row>
    <row r="73" spans="1:3">
      <c r="A73" s="24">
        <v>43647</v>
      </c>
      <c r="B73">
        <v>47.39</v>
      </c>
      <c r="C73" s="13"/>
    </row>
    <row r="74" spans="1:3">
      <c r="A74" s="24">
        <v>43678</v>
      </c>
      <c r="C74" s="13"/>
    </row>
    <row r="75" spans="1:3">
      <c r="A75" s="24">
        <v>43709</v>
      </c>
      <c r="C75" s="13"/>
    </row>
    <row r="76" spans="1:3">
      <c r="A76" s="24">
        <v>43739</v>
      </c>
      <c r="B76">
        <v>44.3</v>
      </c>
      <c r="C76" s="13"/>
    </row>
    <row r="77" spans="1:3">
      <c r="A77" s="24">
        <v>43770</v>
      </c>
      <c r="B77">
        <v>44.67</v>
      </c>
      <c r="C77" s="13"/>
    </row>
    <row r="78" spans="1:3">
      <c r="A78" s="24">
        <v>43803</v>
      </c>
      <c r="B78">
        <v>44.54</v>
      </c>
      <c r="C78" s="13"/>
    </row>
    <row r="79" spans="1:3">
      <c r="A79" s="25">
        <v>43831</v>
      </c>
      <c r="B79" s="14">
        <v>42.79</v>
      </c>
      <c r="C79" s="15"/>
    </row>
    <row r="83" spans="1:13" s="2" customFormat="1" ht="21">
      <c r="A83" s="26" t="s">
        <v>91</v>
      </c>
      <c r="B83" s="27" t="s">
        <v>0</v>
      </c>
      <c r="C83" s="27" t="s">
        <v>1</v>
      </c>
      <c r="D83" s="27" t="s">
        <v>2</v>
      </c>
      <c r="E83" s="27" t="s">
        <v>3</v>
      </c>
      <c r="F83" s="27" t="s">
        <v>92</v>
      </c>
      <c r="G83" s="27" t="s">
        <v>5</v>
      </c>
      <c r="H83" s="27" t="s">
        <v>6</v>
      </c>
      <c r="I83" s="27" t="s">
        <v>7</v>
      </c>
      <c r="J83" s="27" t="s">
        <v>8</v>
      </c>
      <c r="K83" s="27" t="s">
        <v>9</v>
      </c>
      <c r="L83" s="27" t="s">
        <v>10</v>
      </c>
      <c r="M83" s="28" t="s">
        <v>11</v>
      </c>
    </row>
    <row r="84" spans="1:13">
      <c r="A84" s="24" t="s">
        <v>21</v>
      </c>
      <c r="B84">
        <v>19605</v>
      </c>
      <c r="C84">
        <v>19599</v>
      </c>
      <c r="D84">
        <v>19993</v>
      </c>
      <c r="E84">
        <v>19938</v>
      </c>
      <c r="F84">
        <v>20172</v>
      </c>
      <c r="G84">
        <v>20361</v>
      </c>
      <c r="H84">
        <v>20522</v>
      </c>
      <c r="I84">
        <v>20726</v>
      </c>
      <c r="J84">
        <v>20630</v>
      </c>
      <c r="K84">
        <v>20738</v>
      </c>
      <c r="L84">
        <v>215881</v>
      </c>
      <c r="M84" s="13">
        <v>220918</v>
      </c>
    </row>
    <row r="85" spans="1:13">
      <c r="A85" s="25" t="s">
        <v>22</v>
      </c>
      <c r="B85" s="14">
        <v>48453</v>
      </c>
      <c r="C85" s="14">
        <v>47406</v>
      </c>
      <c r="D85" s="14">
        <v>48135</v>
      </c>
      <c r="E85" s="14">
        <v>46932</v>
      </c>
      <c r="F85" s="14">
        <v>47070</v>
      </c>
      <c r="G85" s="14">
        <v>47154</v>
      </c>
      <c r="H85" s="14">
        <v>47537</v>
      </c>
      <c r="I85" s="14">
        <v>47575</v>
      </c>
      <c r="J85" s="14">
        <v>46894</v>
      </c>
      <c r="K85" s="14">
        <v>46559</v>
      </c>
      <c r="L85" s="14">
        <v>259176</v>
      </c>
      <c r="M85" s="15">
        <v>261735</v>
      </c>
    </row>
    <row r="86" spans="1:13">
      <c r="A86" s="31"/>
    </row>
  </sheetData>
  <mergeCells count="3">
    <mergeCell ref="A1:M1"/>
    <mergeCell ref="A24:N25"/>
    <mergeCell ref="A45:B4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zoomScale="60" zoomScaleNormal="60" workbookViewId="0">
      <selection activeCell="P7" sqref="P7"/>
    </sheetView>
  </sheetViews>
  <sheetFormatPr defaultRowHeight="15"/>
  <cols>
    <col min="1" max="1" width="30.28515625" bestFit="1" customWidth="1"/>
    <col min="2" max="3" width="11.28515625" bestFit="1" customWidth="1"/>
    <col min="4" max="4" width="30.28515625" bestFit="1" customWidth="1"/>
    <col min="5" max="16" width="9.5703125" customWidth="1"/>
  </cols>
  <sheetData>
    <row r="1" spans="1:16" s="2" customFormat="1">
      <c r="A1" s="47"/>
      <c r="B1" s="47"/>
      <c r="C1" s="47"/>
      <c r="D1" s="47"/>
      <c r="E1" s="145" t="s">
        <v>79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>
      <c r="A2" s="48" t="s">
        <v>47</v>
      </c>
      <c r="B2" s="48" t="s">
        <v>45</v>
      </c>
      <c r="C2" s="48" t="s">
        <v>46</v>
      </c>
      <c r="D2" s="48" t="s">
        <v>44</v>
      </c>
      <c r="E2" s="49" t="s">
        <v>0</v>
      </c>
      <c r="F2" s="50" t="s">
        <v>1</v>
      </c>
      <c r="G2" s="50" t="s">
        <v>2</v>
      </c>
      <c r="H2" s="50" t="s">
        <v>3</v>
      </c>
      <c r="I2" s="50" t="s">
        <v>4</v>
      </c>
      <c r="J2" s="50" t="s">
        <v>5</v>
      </c>
      <c r="K2" s="50" t="s">
        <v>6</v>
      </c>
      <c r="L2" s="50" t="s">
        <v>7</v>
      </c>
      <c r="M2" s="50" t="s">
        <v>8</v>
      </c>
      <c r="N2" s="50" t="s">
        <v>9</v>
      </c>
      <c r="O2" s="50" t="s">
        <v>10</v>
      </c>
      <c r="P2" s="51" t="s">
        <v>11</v>
      </c>
    </row>
    <row r="3" spans="1:16">
      <c r="A3" t="s">
        <v>58</v>
      </c>
      <c r="B3" s="31">
        <v>43440</v>
      </c>
      <c r="C3" s="31">
        <v>43805</v>
      </c>
      <c r="D3" t="s">
        <v>55</v>
      </c>
      <c r="E3" s="143">
        <v>20681</v>
      </c>
      <c r="F3" s="143">
        <v>13654</v>
      </c>
      <c r="G3" s="143">
        <v>12603</v>
      </c>
      <c r="H3" s="143">
        <v>11712</v>
      </c>
      <c r="I3" s="143">
        <v>10575</v>
      </c>
      <c r="J3" s="143">
        <v>9844</v>
      </c>
      <c r="K3" s="143">
        <v>12494</v>
      </c>
      <c r="L3" s="143">
        <v>12350</v>
      </c>
      <c r="M3" s="143">
        <v>10467</v>
      </c>
      <c r="N3" s="143">
        <v>10680</v>
      </c>
      <c r="O3" s="143">
        <v>8253</v>
      </c>
      <c r="P3" s="143">
        <v>12571</v>
      </c>
    </row>
    <row r="4" spans="1:16">
      <c r="A4" t="s">
        <v>59</v>
      </c>
      <c r="B4" s="31">
        <v>43454</v>
      </c>
      <c r="C4" s="31">
        <v>43819</v>
      </c>
      <c r="D4" t="s">
        <v>55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>
      <c r="A5" t="s">
        <v>61</v>
      </c>
      <c r="B5" s="31">
        <v>43827</v>
      </c>
      <c r="C5" s="31">
        <v>43827</v>
      </c>
      <c r="D5" t="s">
        <v>57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>
      <c r="A6" t="s">
        <v>60</v>
      </c>
      <c r="B6" s="31">
        <v>43454</v>
      </c>
      <c r="C6" s="31">
        <v>43819</v>
      </c>
      <c r="D6" t="s">
        <v>56</v>
      </c>
      <c r="E6" s="63">
        <v>7466</v>
      </c>
      <c r="F6" s="63">
        <v>5245</v>
      </c>
      <c r="G6" s="63">
        <v>5069</v>
      </c>
      <c r="H6" s="63">
        <v>4349</v>
      </c>
      <c r="I6" s="63">
        <v>5493</v>
      </c>
      <c r="J6" s="63">
        <v>4537</v>
      </c>
      <c r="K6" s="63">
        <v>5539</v>
      </c>
      <c r="L6" s="63">
        <v>4860</v>
      </c>
      <c r="M6" s="63">
        <v>4556</v>
      </c>
      <c r="N6" s="63">
        <v>4630</v>
      </c>
      <c r="O6" s="63">
        <v>4029</v>
      </c>
      <c r="P6" s="63">
        <v>20180</v>
      </c>
    </row>
  </sheetData>
  <mergeCells count="13">
    <mergeCell ref="M3:M5"/>
    <mergeCell ref="N3:N5"/>
    <mergeCell ref="O3:O5"/>
    <mergeCell ref="P3:P5"/>
    <mergeCell ref="E1:P1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zoomScale="80" zoomScaleNormal="80" workbookViewId="0">
      <selection activeCell="M6" sqref="M6"/>
    </sheetView>
  </sheetViews>
  <sheetFormatPr defaultRowHeight="15"/>
  <cols>
    <col min="1" max="1" width="39.42578125" bestFit="1" customWidth="1"/>
    <col min="2" max="14" width="9.7109375" customWidth="1"/>
    <col min="15" max="15" width="9.28515625" bestFit="1" customWidth="1"/>
  </cols>
  <sheetData>
    <row r="1" spans="1:17" ht="21">
      <c r="A1" s="139" t="s">
        <v>94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54"/>
      <c r="P1" s="54"/>
      <c r="Q1" s="54"/>
    </row>
    <row r="2" spans="1:17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55" t="s">
        <v>63</v>
      </c>
      <c r="O2" s="2"/>
      <c r="P2" s="2"/>
      <c r="Q2" s="2"/>
    </row>
    <row r="3" spans="1:17">
      <c r="A3" s="53" t="s">
        <v>50</v>
      </c>
      <c r="B3">
        <v>173</v>
      </c>
      <c r="C3">
        <v>195</v>
      </c>
      <c r="D3">
        <v>192</v>
      </c>
      <c r="E3">
        <v>97</v>
      </c>
      <c r="F3">
        <v>101</v>
      </c>
      <c r="G3">
        <v>74</v>
      </c>
      <c r="H3">
        <v>94</v>
      </c>
      <c r="I3">
        <v>125</v>
      </c>
      <c r="J3">
        <v>50</v>
      </c>
      <c r="K3">
        <v>42</v>
      </c>
      <c r="N3" s="52">
        <f>SUM(B3:M3)</f>
        <v>1143</v>
      </c>
    </row>
    <row r="4" spans="1:17">
      <c r="A4" s="53" t="s">
        <v>51</v>
      </c>
      <c r="B4">
        <v>1</v>
      </c>
      <c r="C4">
        <v>3</v>
      </c>
      <c r="D4">
        <v>3</v>
      </c>
      <c r="E4">
        <v>21</v>
      </c>
      <c r="F4">
        <v>17</v>
      </c>
      <c r="G4">
        <v>1</v>
      </c>
      <c r="H4">
        <v>0</v>
      </c>
      <c r="I4">
        <v>1</v>
      </c>
      <c r="J4">
        <v>1</v>
      </c>
      <c r="K4">
        <v>1</v>
      </c>
      <c r="N4" s="52">
        <f>SUM(B4:M4)</f>
        <v>49</v>
      </c>
    </row>
    <row r="5" spans="1:17">
      <c r="A5" s="53" t="s">
        <v>52</v>
      </c>
      <c r="B5">
        <v>619</v>
      </c>
      <c r="C5">
        <v>609</v>
      </c>
      <c r="D5">
        <v>1204</v>
      </c>
      <c r="E5">
        <v>893</v>
      </c>
      <c r="F5">
        <v>642</v>
      </c>
      <c r="G5">
        <v>312</v>
      </c>
      <c r="H5">
        <f>626+1760</f>
        <v>2386</v>
      </c>
      <c r="I5">
        <f>1270+389</f>
        <v>1659</v>
      </c>
      <c r="J5">
        <f>862+302</f>
        <v>1164</v>
      </c>
      <c r="K5">
        <f>767+258</f>
        <v>1025</v>
      </c>
      <c r="L5">
        <f>4648+516</f>
        <v>5164</v>
      </c>
      <c r="M5">
        <v>7748</v>
      </c>
      <c r="N5" s="52">
        <f>SUM(B5:M5)</f>
        <v>23425</v>
      </c>
    </row>
    <row r="6" spans="1:17">
      <c r="A6" s="53" t="s">
        <v>49</v>
      </c>
      <c r="B6">
        <v>321</v>
      </c>
      <c r="C6">
        <v>392</v>
      </c>
      <c r="D6">
        <v>260</v>
      </c>
      <c r="E6">
        <v>204</v>
      </c>
      <c r="F6">
        <v>250</v>
      </c>
      <c r="G6">
        <v>241</v>
      </c>
      <c r="H6">
        <v>273</v>
      </c>
      <c r="I6">
        <v>256</v>
      </c>
      <c r="J6">
        <v>166</v>
      </c>
      <c r="K6">
        <v>192</v>
      </c>
      <c r="N6" s="52">
        <f>SUM(B6:M6)</f>
        <v>2555</v>
      </c>
    </row>
    <row r="7" spans="1:17">
      <c r="A7" s="53" t="s">
        <v>48</v>
      </c>
      <c r="B7">
        <v>12.6</v>
      </c>
      <c r="C7">
        <v>15.3</v>
      </c>
      <c r="D7">
        <v>10.199999999999999</v>
      </c>
      <c r="E7">
        <v>8.5</v>
      </c>
      <c r="F7">
        <v>9.5</v>
      </c>
      <c r="G7">
        <v>9.5</v>
      </c>
      <c r="H7">
        <v>10.5</v>
      </c>
      <c r="I7">
        <v>9.9</v>
      </c>
      <c r="J7">
        <v>6.7</v>
      </c>
      <c r="K7" s="90">
        <v>6.2</v>
      </c>
      <c r="N7" s="52">
        <f>ROUND(AVERAGE(B7:M7),0)</f>
        <v>10</v>
      </c>
      <c r="O7" s="56" t="s">
        <v>53</v>
      </c>
    </row>
    <row r="9" spans="1:17">
      <c r="A9" s="53" t="s">
        <v>95</v>
      </c>
    </row>
  </sheetData>
  <mergeCells count="1">
    <mergeCell ref="A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Infographic</vt:lpstr>
      <vt:lpstr>OverDrive Statistics</vt:lpstr>
      <vt:lpstr>Simultaneous Use Circ</vt:lpstr>
      <vt:lpstr>BiblioBoard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2020-01-02T14:51:20Z</dcterms:modified>
</cp:coreProperties>
</file>